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50" windowHeight="6675" firstSheet="1" activeTab="5"/>
  </bookViews>
  <sheets>
    <sheet name="Operating Plan" sheetId="1" r:id="rId1"/>
    <sheet name="Market Model_top down" sheetId="2" r:id="rId2"/>
    <sheet name="Market Model_bottom up" sheetId="3" r:id="rId3"/>
    <sheet name="Cost Analysis" sheetId="4" r:id="rId4"/>
    <sheet name="Income Statement" sheetId="5" r:id="rId5"/>
    <sheet name="Cash Requirements" sheetId="6" r:id="rId6"/>
    <sheet name="Funding Model" sheetId="7" r:id="rId7"/>
  </sheets>
  <definedNames>
    <definedName name="_xlnm.Print_Area" localSheetId="1">'Market Model_top down'!$A$1:$H$22</definedName>
    <definedName name="_xlnm.Print_Area" localSheetId="0">'Operating Plan'!$A$1:$X$60</definedName>
  </definedNames>
  <calcPr fullCalcOnLoad="1"/>
</workbook>
</file>

<file path=xl/sharedStrings.xml><?xml version="1.0" encoding="utf-8"?>
<sst xmlns="http://schemas.openxmlformats.org/spreadsheetml/2006/main" count="492" uniqueCount="255">
  <si>
    <t>Quarter</t>
  </si>
  <si>
    <t>Complete animal and bench top testing</t>
  </si>
  <si>
    <t>FDA Approval</t>
  </si>
  <si>
    <t>Hire CEO</t>
  </si>
  <si>
    <t>Initial sales force hires</t>
  </si>
  <si>
    <t>Product generally available</t>
  </si>
  <si>
    <t>Limited pilot study and availability</t>
  </si>
  <si>
    <t>Design training program</t>
  </si>
  <si>
    <t>Engineers</t>
  </si>
  <si>
    <t>Techs</t>
  </si>
  <si>
    <t>Regulatory</t>
  </si>
  <si>
    <t>Management</t>
  </si>
  <si>
    <t>SG&amp;A</t>
  </si>
  <si>
    <t>R&amp;D</t>
  </si>
  <si>
    <t>COGS</t>
  </si>
  <si>
    <t>Year</t>
  </si>
  <si>
    <t>Key Assumptions</t>
  </si>
  <si>
    <t>#</t>
  </si>
  <si>
    <t>Source</t>
  </si>
  <si>
    <t>Company research</t>
  </si>
  <si>
    <t>% Market share of ablation patients</t>
  </si>
  <si>
    <t>US Market Model</t>
  </si>
  <si>
    <t>US pop stats - baby boomers</t>
  </si>
  <si>
    <t>Assumption</t>
  </si>
  <si>
    <t>Procedures per patient</t>
  </si>
  <si>
    <t>Refractory AF patients</t>
  </si>
  <si>
    <t># of paroxysmal AF patients</t>
  </si>
  <si>
    <t>% drug refractory</t>
  </si>
  <si>
    <t>Total ablation procedures performed</t>
  </si>
  <si>
    <t>% of refractory patients treated</t>
  </si>
  <si>
    <t>Multiples</t>
  </si>
  <si>
    <t>Totals</t>
  </si>
  <si>
    <t>SG&amp;A / R&amp;D multiple</t>
  </si>
  <si>
    <t>% improvement</t>
  </si>
  <si>
    <t>Yearly salary increase</t>
  </si>
  <si>
    <t>Administration</t>
  </si>
  <si>
    <t>Manufacturing</t>
  </si>
  <si>
    <t>Technicians</t>
  </si>
  <si>
    <t>Factor</t>
  </si>
  <si>
    <t>Manufacturing labor</t>
  </si>
  <si>
    <t>n/a</t>
  </si>
  <si>
    <t># of engineers</t>
  </si>
  <si>
    <t># of direct labor</t>
  </si>
  <si>
    <t>Engineering</t>
  </si>
  <si>
    <t>Inflation</t>
  </si>
  <si>
    <t># of manufacturing employees</t>
  </si>
  <si>
    <t>Year 1</t>
  </si>
  <si>
    <t>Year 2</t>
  </si>
  <si>
    <t>Year 3</t>
  </si>
  <si>
    <t>Year 4</t>
  </si>
  <si>
    <t>Year 5</t>
  </si>
  <si>
    <t>Year 6</t>
  </si>
  <si>
    <t>Year 7</t>
  </si>
  <si>
    <t>Employee Information</t>
  </si>
  <si>
    <t>Operating Expenses</t>
  </si>
  <si>
    <t>Operating Expenses (Op Ex)</t>
  </si>
  <si>
    <t># of employees</t>
  </si>
  <si>
    <t>Catheter Company Income Statement</t>
  </si>
  <si>
    <t>N/A</t>
  </si>
  <si>
    <t>% of sales</t>
  </si>
  <si>
    <t>Catheter Company Cash Requirements</t>
  </si>
  <si>
    <t># of non-mfg employees</t>
  </si>
  <si>
    <t>Catheter Company Operating Plan</t>
  </si>
  <si>
    <t>Catheter Company Employee Plan</t>
  </si>
  <si>
    <t>Analysis</t>
  </si>
  <si>
    <t>NEJM stat</t>
  </si>
  <si>
    <t>= NEJM * # paroxysmal</t>
  </si>
  <si>
    <t>assumption</t>
  </si>
  <si>
    <t>= refractory patients * % treated * procedures per patient</t>
  </si>
  <si>
    <t>= # of paroxysmal Patients grown at 2%</t>
  </si>
  <si>
    <t>= ASP estimate * 1% decrease</t>
  </si>
  <si>
    <t>= % mkt share * total procedures</t>
  </si>
  <si>
    <t>= total procedures * ASP</t>
  </si>
  <si>
    <t>- These #'s are an average of the staffing levels from the Operating Plan for each year.</t>
  </si>
  <si>
    <t>- assumptions on salary are from Larry T.</t>
  </si>
  <si>
    <t>- "factor" takes into account health care costs and other, non salary related employee costs - per Larry T.</t>
  </si>
  <si>
    <t>= salary * factor * yearly salary increase</t>
  </si>
  <si>
    <t>- from table above</t>
  </si>
  <si>
    <t>- from employee table above</t>
  </si>
  <si>
    <t>- from fully burdened salary table above</t>
  </si>
  <si>
    <t>= # of employees * salary (for each type of employee)</t>
  </si>
  <si>
    <t>= cost per sq foot * inflation assumption</t>
  </si>
  <si>
    <t>- assumption</t>
  </si>
  <si>
    <t>- note: typically you buy space in blocks so you don't have to move a lot</t>
  </si>
  <si>
    <t>- from market model</t>
  </si>
  <si>
    <t>- assumption based on the type of product you have</t>
  </si>
  <si>
    <t>- assumption that as you produce more you will be able to reduce the price</t>
  </si>
  <si>
    <t>= Cost per Square foot * projected Sq footage</t>
  </si>
  <si>
    <t>= raw material cost per unit * units sold</t>
  </si>
  <si>
    <t>= sum of mfg labor cost, facility cost and raw material costs</t>
  </si>
  <si>
    <t>= sum of R&amp;D expenses, SG&amp;A expenses and facility cost</t>
  </si>
  <si>
    <t>- From the market model</t>
  </si>
  <si>
    <t>- From the costs analysis spreadsheet</t>
  </si>
  <si>
    <t>= Revenue - COGS</t>
  </si>
  <si>
    <t>= Gross Margin / Revenue</t>
  </si>
  <si>
    <t>= R&amp;D expenditures / Revenue</t>
  </si>
  <si>
    <t>= SG&amp;A Expenditure / Revenue</t>
  </si>
  <si>
    <t>= SUM of R&amp;D, SG&amp;A &amp; Facilities Costs</t>
  </si>
  <si>
    <t>= Operating Expense / Revenue</t>
  </si>
  <si>
    <t>= Gross Margin - Total Operating Expenses</t>
  </si>
  <si>
    <t>= Pre-tax Operating Profit / Revenue</t>
  </si>
  <si>
    <t>- From the Income Statement (Pre-tax Operating Profit)</t>
  </si>
  <si>
    <t>- From the employee summary on the costs analysis sheet</t>
  </si>
  <si>
    <t>= # of employees * employee cost</t>
  </si>
  <si>
    <t>= Sum of computers, phones, etc + clean room + mfg equipment</t>
  </si>
  <si>
    <t>- From cost analysis spreadsheet</t>
  </si>
  <si>
    <t>- Assumptions</t>
  </si>
  <si>
    <t>= Factor * Raw material costs</t>
  </si>
  <si>
    <t>- Income (or loss) from the year + other cash outflows (like capital equipment or inventory)</t>
  </si>
  <si>
    <t>- Total cash flow over the course of your business</t>
  </si>
  <si>
    <t>- If this is &lt;0, then you are bankrupt</t>
  </si>
  <si>
    <t>- Assumption / "plug" based on fund raising strategy</t>
  </si>
  <si>
    <t>= Cash Flow from the year + Post-financing cash in the bank</t>
  </si>
  <si>
    <t>- Assumption of capital equipment purchased per employee</t>
  </si>
  <si>
    <t>- assumption (typical space needs)</t>
  </si>
  <si>
    <t>Initial catheter prototyping</t>
  </si>
  <si>
    <t>Generator prototyping</t>
  </si>
  <si>
    <t>Clinical proof of concept testing</t>
  </si>
  <si>
    <t>Finalize catheter design</t>
  </si>
  <si>
    <t>Finalize generator design</t>
  </si>
  <si>
    <t>Complete manufacturing design</t>
  </si>
  <si>
    <t>510k approval process</t>
  </si>
  <si>
    <t>Finalize manufacturing processes</t>
  </si>
  <si>
    <t>FDA approval</t>
  </si>
  <si>
    <t>Phase 1: Proof of concept</t>
  </si>
  <si>
    <t>Phase 2: Final product development</t>
  </si>
  <si>
    <t>Phase 3: FDA approval</t>
  </si>
  <si>
    <t>Manufacturing team</t>
  </si>
  <si>
    <t>Manufacturing assemblers</t>
  </si>
  <si>
    <t>Catheter team</t>
  </si>
  <si>
    <t>Generator team</t>
  </si>
  <si>
    <t>Salesforce</t>
  </si>
  <si>
    <t>Clinical advisor</t>
  </si>
  <si>
    <t>Administrative asst.</t>
  </si>
  <si>
    <t>Units / assembler</t>
  </si>
  <si>
    <t>Population growth rate</t>
  </si>
  <si>
    <t>Key milestones</t>
  </si>
  <si>
    <t>Paroxysmal AF patients</t>
  </si>
  <si>
    <t>Total units sold</t>
  </si>
  <si>
    <t>Salary assumptions</t>
  </si>
  <si>
    <t>Manufacturing facilities</t>
  </si>
  <si>
    <t>Projected sq. footage</t>
  </si>
  <si>
    <t>Sq. footage required</t>
  </si>
  <si>
    <t>Units sold</t>
  </si>
  <si>
    <t>Product Related Expenses (Cost of Goods Sold - COGS)</t>
  </si>
  <si>
    <t>Raw materials</t>
  </si>
  <si>
    <t>Total operating expenses</t>
  </si>
  <si>
    <t># of techs</t>
  </si>
  <si>
    <t># of sales reps</t>
  </si>
  <si>
    <t># of management</t>
  </si>
  <si>
    <t># of administrative assistants</t>
  </si>
  <si>
    <t>Sq. footage / employee</t>
  </si>
  <si>
    <t>Operating costs</t>
  </si>
  <si>
    <t>Gross margin (% of sales)</t>
  </si>
  <si>
    <t>Operating margin</t>
  </si>
  <si>
    <t>Capital equipment purchased</t>
  </si>
  <si>
    <t>Cash needs</t>
  </si>
  <si>
    <t>New England Journal of Medicine</t>
  </si>
  <si>
    <t>American Heart Association</t>
  </si>
  <si>
    <t>Estimate</t>
  </si>
  <si>
    <t>Average selling price ($)</t>
  </si>
  <si>
    <t>Revenue ($)</t>
  </si>
  <si>
    <t>Fully loaded employee cost ($)</t>
  </si>
  <si>
    <t>Manufacturing labor cost ($)</t>
  </si>
  <si>
    <t>Cost per sq. foot ($)</t>
  </si>
  <si>
    <t>Manufacturing facilities cost ($)</t>
  </si>
  <si>
    <t>Raw material costs per unit ($)</t>
  </si>
  <si>
    <t>R&amp;D costs ($)</t>
  </si>
  <si>
    <t>SG&amp;A costs ($)</t>
  </si>
  <si>
    <t>Facilities cost ($)</t>
  </si>
  <si>
    <t>Total operating costs ($)</t>
  </si>
  <si>
    <t>Salary ($)</t>
  </si>
  <si>
    <t>Gross margin ($)</t>
  </si>
  <si>
    <t>Pre-tax operating profit ($)</t>
  </si>
  <si>
    <t>Cost of computers, phones, desks / employee ($)</t>
  </si>
  <si>
    <t>Total cost of computers, phones, desks ($)</t>
  </si>
  <si>
    <t>Clean room ($)</t>
  </si>
  <si>
    <t>Manufacturing equipment ($)</t>
  </si>
  <si>
    <t>Raw material costs ($)</t>
  </si>
  <si>
    <t>Inventory build ($)</t>
  </si>
  <si>
    <t>Total cash flow from the year ($)</t>
  </si>
  <si>
    <t>Cumulative cash flow ($)</t>
  </si>
  <si>
    <t>Cash balance ($)</t>
  </si>
  <si>
    <t>Suggested amount financed ($)</t>
  </si>
  <si>
    <t>Post-financing cash in the bank ($)</t>
  </si>
  <si>
    <t>Total capital equipment purchase ($)</t>
  </si>
  <si>
    <t>Average selling price (ASP) of ablation catheter ($)</t>
  </si>
  <si>
    <t>Total market size ($)</t>
  </si>
  <si>
    <t>% annual decrease of ASP</t>
  </si>
  <si>
    <t>Pre-tax operating profit (loss) ($)</t>
  </si>
  <si>
    <t>Clinical, regulatory &amp; QA</t>
  </si>
  <si>
    <t># of clinical, regulatory &amp; QA</t>
  </si>
  <si>
    <t># of marketing &amp; bus. development</t>
  </si>
  <si>
    <t>Sales, marketing, bus. development</t>
  </si>
  <si>
    <t>Staff costs</t>
  </si>
  <si>
    <t>Facilities costs</t>
  </si>
  <si>
    <t>SG&amp;A facility costs ($)</t>
  </si>
  <si>
    <t xml:space="preserve">   Payer engagement</t>
  </si>
  <si>
    <t xml:space="preserve">   Prepation of payer materials</t>
  </si>
  <si>
    <t xml:space="preserve">   Payer communication</t>
  </si>
  <si>
    <t xml:space="preserve">   Reimbursement support</t>
  </si>
  <si>
    <t>Phase 4: Reimbursement</t>
  </si>
  <si>
    <t>Phase 5: Market availability</t>
  </si>
  <si>
    <t>Marketing, business development, and reimbursement</t>
  </si>
  <si>
    <t>Fully burdened salary - per employee ($)</t>
  </si>
  <si>
    <t>Revenue</t>
  </si>
  <si>
    <t>Series A</t>
  </si>
  <si>
    <t>Series B</t>
  </si>
  <si>
    <t>Series C</t>
  </si>
  <si>
    <t>Acquisition</t>
  </si>
  <si>
    <t>Investment</t>
  </si>
  <si>
    <t>Pre-Money</t>
  </si>
  <si>
    <t>Post-Money</t>
  </si>
  <si>
    <t>% Shares</t>
  </si>
  <si>
    <t>Target IRR</t>
  </si>
  <si>
    <t>Return Mutliple</t>
  </si>
  <si>
    <t>Years to Exit</t>
  </si>
  <si>
    <t>Owners + Employees</t>
  </si>
  <si>
    <t>Raw material &amp; packaging costs (COGS) ($)</t>
  </si>
  <si>
    <t>Manufacturing Costs</t>
  </si>
  <si>
    <t>Cost of Goods Sold ($)</t>
  </si>
  <si>
    <t>Total ($)</t>
  </si>
  <si>
    <t>Manufacturing Costs ($)</t>
  </si>
  <si>
    <t>Quality Systems</t>
  </si>
  <si>
    <t># of sales reps hired</t>
  </si>
  <si>
    <t># of open accounts per rep</t>
  </si>
  <si>
    <t># of patients per hospital / year</t>
  </si>
  <si>
    <t>Total cases / account</t>
  </si>
  <si>
    <t>Total cases / units sold</t>
  </si>
  <si>
    <t>% penetration</t>
  </si>
  <si>
    <t>Clinical trial costs</t>
  </si>
  <si>
    <t># of patients</t>
  </si>
  <si>
    <t>Cost per patient</t>
  </si>
  <si>
    <t># of sites</t>
  </si>
  <si>
    <t>Site setup &amp; recruitment</t>
  </si>
  <si>
    <t>CRO - months required</t>
  </si>
  <si>
    <t>Insurance</t>
  </si>
  <si>
    <t>Regulatory Consulting &amp; Filing</t>
  </si>
  <si>
    <t>Total Clinical Trial</t>
  </si>
  <si>
    <t>CRO cost / month</t>
  </si>
  <si>
    <t>First in man - OUS</t>
  </si>
  <si>
    <t>Corporate setup costs</t>
  </si>
  <si>
    <t>Corporate Council Maintenance Cost</t>
  </si>
  <si>
    <t>Intellectual Property</t>
  </si>
  <si>
    <t>Accounting / taxes</t>
  </si>
  <si>
    <t>Bookkeeping / HR</t>
  </si>
  <si>
    <t>Months</t>
  </si>
  <si>
    <t># of patents</t>
  </si>
  <si>
    <t>Corporate Insurance</t>
  </si>
  <si>
    <t>Total</t>
  </si>
  <si>
    <t>Equipment</t>
  </si>
  <si>
    <t>FDM machine</t>
  </si>
  <si>
    <t>Clinical trial for sales support</t>
  </si>
  <si>
    <t>Marketing costs</t>
  </si>
  <si>
    <t>Marketing Costs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</si>
</sst>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&quot;-&quot;?_);_(@_)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0.00_);\(0.00\)"/>
    <numFmt numFmtId="176" formatCode="0.0_);\(0.0\)"/>
    <numFmt numFmtId="177" formatCode="0_);\(0\)"/>
    <numFmt numFmtId="178" formatCode="0_);[Red]\(0\)"/>
    <numFmt numFmtId="179" formatCode="#,##0.0_);[Red]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0000"/>
    <numFmt numFmtId="183" formatCode="0.00000000"/>
    <numFmt numFmtId="184" formatCode="0.000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2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59" applyFont="1" applyBorder="1" applyAlignment="1">
      <alignment/>
    </xf>
    <xf numFmtId="167" fontId="0" fillId="0" borderId="0" xfId="42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Fill="1" applyBorder="1" applyAlignment="1">
      <alignment/>
    </xf>
    <xf numFmtId="9" fontId="5" fillId="0" borderId="14" xfId="59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167" fontId="0" fillId="0" borderId="12" xfId="42" applyNumberFormat="1" applyFont="1" applyBorder="1" applyAlignment="1">
      <alignment/>
    </xf>
    <xf numFmtId="165" fontId="8" fillId="0" borderId="12" xfId="59" applyNumberFormat="1" applyFont="1" applyBorder="1" applyAlignment="1">
      <alignment/>
    </xf>
    <xf numFmtId="167" fontId="2" fillId="0" borderId="20" xfId="42" applyNumberFormat="1" applyFont="1" applyBorder="1" applyAlignment="1">
      <alignment/>
    </xf>
    <xf numFmtId="169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167" fontId="0" fillId="0" borderId="21" xfId="42" applyNumberFormat="1" applyFont="1" applyBorder="1" applyAlignment="1">
      <alignment/>
    </xf>
    <xf numFmtId="165" fontId="8" fillId="0" borderId="21" xfId="59" applyNumberFormat="1" applyFont="1" applyBorder="1" applyAlignment="1">
      <alignment/>
    </xf>
    <xf numFmtId="167" fontId="2" fillId="0" borderId="22" xfId="42" applyNumberFormat="1" applyFont="1" applyBorder="1" applyAlignment="1">
      <alignment/>
    </xf>
    <xf numFmtId="169" fontId="0" fillId="0" borderId="21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1" xfId="0" applyBorder="1" applyAlignment="1">
      <alignment horizontal="left"/>
    </xf>
    <xf numFmtId="9" fontId="0" fillId="0" borderId="21" xfId="59" applyFont="1" applyBorder="1" applyAlignment="1">
      <alignment/>
    </xf>
    <xf numFmtId="43" fontId="5" fillId="0" borderId="21" xfId="42" applyFont="1" applyBorder="1" applyAlignment="1">
      <alignment/>
    </xf>
    <xf numFmtId="43" fontId="5" fillId="0" borderId="12" xfId="42" applyFont="1" applyBorder="1" applyAlignment="1">
      <alignment/>
    </xf>
    <xf numFmtId="0" fontId="9" fillId="0" borderId="21" xfId="0" applyFont="1" applyBorder="1" applyAlignment="1">
      <alignment horizontal="left" indent="1"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Alignment="1" quotePrefix="1">
      <alignment wrapText="1"/>
    </xf>
    <xf numFmtId="1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2" fillId="0" borderId="15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2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2" fillId="0" borderId="15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 horizontal="left" inden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indent="1"/>
    </xf>
    <xf numFmtId="38" fontId="5" fillId="0" borderId="0" xfId="0" applyNumberFormat="1" applyFont="1" applyAlignment="1">
      <alignment/>
    </xf>
    <xf numFmtId="38" fontId="0" fillId="0" borderId="0" xfId="42" applyNumberFormat="1" applyFont="1" applyAlignment="1">
      <alignment/>
    </xf>
    <xf numFmtId="38" fontId="5" fillId="0" borderId="0" xfId="42" applyNumberFormat="1" applyFont="1" applyAlignment="1">
      <alignment/>
    </xf>
    <xf numFmtId="38" fontId="2" fillId="0" borderId="15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2" fillId="0" borderId="15" xfId="0" applyNumberFormat="1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10" xfId="0" applyNumberFormat="1" applyFont="1" applyBorder="1" applyAlignment="1">
      <alignment horizontal="center"/>
    </xf>
    <xf numFmtId="38" fontId="0" fillId="0" borderId="10" xfId="0" applyNumberFormat="1" applyBorder="1" applyAlignment="1">
      <alignment/>
    </xf>
    <xf numFmtId="38" fontId="5" fillId="0" borderId="10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9" fontId="0" fillId="0" borderId="0" xfId="59" applyFont="1" applyFill="1" applyBorder="1" applyAlignment="1">
      <alignment horizontal="left" indent="1"/>
    </xf>
    <xf numFmtId="9" fontId="0" fillId="0" borderId="0" xfId="59" applyFont="1" applyAlignment="1">
      <alignment horizontal="right"/>
    </xf>
    <xf numFmtId="9" fontId="0" fillId="0" borderId="0" xfId="59" applyFont="1" applyAlignment="1">
      <alignment/>
    </xf>
    <xf numFmtId="0" fontId="0" fillId="0" borderId="0" xfId="0" applyFont="1" applyAlignment="1">
      <alignment horizontal="left" indent="2"/>
    </xf>
    <xf numFmtId="165" fontId="0" fillId="0" borderId="0" xfId="59" applyNumberFormat="1" applyFont="1" applyAlignment="1">
      <alignment horizontal="right"/>
    </xf>
    <xf numFmtId="41" fontId="0" fillId="0" borderId="0" xfId="59" applyNumberFormat="1" applyFont="1" applyAlignment="1">
      <alignment horizontal="right"/>
    </xf>
    <xf numFmtId="0" fontId="12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1"/>
    </xf>
    <xf numFmtId="179" fontId="0" fillId="0" borderId="0" xfId="0" applyNumberFormat="1" applyFont="1" applyAlignment="1">
      <alignment/>
    </xf>
    <xf numFmtId="44" fontId="0" fillId="0" borderId="0" xfId="44" applyFont="1" applyAlignment="1">
      <alignment/>
    </xf>
    <xf numFmtId="181" fontId="0" fillId="0" borderId="0" xfId="44" applyNumberFormat="1" applyFont="1" applyAlignment="1">
      <alignment horizontal="left" indent="1"/>
    </xf>
    <xf numFmtId="9" fontId="0" fillId="0" borderId="0" xfId="0" applyNumberFormat="1" applyAlignment="1">
      <alignment/>
    </xf>
    <xf numFmtId="181" fontId="0" fillId="0" borderId="0" xfId="44" applyNumberFormat="1" applyFont="1" applyAlignment="1">
      <alignment/>
    </xf>
    <xf numFmtId="181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67" fontId="0" fillId="0" borderId="10" xfId="42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67" fontId="2" fillId="0" borderId="10" xfId="42" applyNumberFormat="1" applyFont="1" applyBorder="1" applyAlignment="1">
      <alignment/>
    </xf>
    <xf numFmtId="43" fontId="5" fillId="0" borderId="10" xfId="42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7" fontId="0" fillId="0" borderId="10" xfId="42" applyNumberFormat="1" applyFont="1" applyBorder="1" applyAlignment="1">
      <alignment horizontal="right"/>
    </xf>
    <xf numFmtId="165" fontId="5" fillId="0" borderId="10" xfId="59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9" fontId="5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" fontId="5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167" fontId="5" fillId="0" borderId="21" xfId="42" applyNumberFormat="1" applyFont="1" applyBorder="1" applyAlignment="1">
      <alignment/>
    </xf>
    <xf numFmtId="9" fontId="0" fillId="0" borderId="10" xfId="59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167" fontId="2" fillId="0" borderId="10" xfId="0" applyNumberFormat="1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7" fontId="48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26</xdr:row>
      <xdr:rowOff>152400</xdr:rowOff>
    </xdr:from>
    <xdr:to>
      <xdr:col>7</xdr:col>
      <xdr:colOff>647700</xdr:colOff>
      <xdr:row>34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362450"/>
          <a:ext cx="7172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zoomScale="95" zoomScaleNormal="95" zoomScalePageLayoutView="0" workbookViewId="0" topLeftCell="A1">
      <pane xSplit="1" ySplit="3" topLeftCell="B4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X25" sqref="X25"/>
    </sheetView>
  </sheetViews>
  <sheetFormatPr defaultColWidth="9.140625" defaultRowHeight="12.75"/>
  <cols>
    <col min="1" max="1" width="37.57421875" style="0" bestFit="1" customWidth="1"/>
    <col min="2" max="21" width="5.00390625" style="0" customWidth="1"/>
    <col min="22" max="22" width="2.57421875" style="0" customWidth="1"/>
    <col min="23" max="25" width="5.00390625" style="0" customWidth="1"/>
    <col min="26" max="26" width="44.7109375" style="0" customWidth="1"/>
  </cols>
  <sheetData>
    <row r="1" spans="1:24" ht="18">
      <c r="A1" s="90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2:24" ht="12.7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12" t="s">
        <v>15</v>
      </c>
      <c r="X2" s="13"/>
    </row>
    <row r="3" spans="1:25" ht="12.75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37"/>
      <c r="W3" s="5">
        <v>6</v>
      </c>
      <c r="X3" s="5">
        <v>7</v>
      </c>
      <c r="Y3" s="37"/>
    </row>
    <row r="4" spans="1:25" ht="12.75">
      <c r="A4" s="6" t="s">
        <v>124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4"/>
      <c r="W4" s="7"/>
      <c r="X4" s="7"/>
      <c r="Y4" s="24"/>
    </row>
    <row r="5" spans="1:25" ht="12.75">
      <c r="A5" s="8" t="s">
        <v>3</v>
      </c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24"/>
      <c r="W5" s="7"/>
      <c r="X5" s="7"/>
      <c r="Y5" s="24"/>
    </row>
    <row r="6" spans="1:25" ht="12.75">
      <c r="A6" s="10" t="s">
        <v>115</v>
      </c>
      <c r="B6" s="9"/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4"/>
      <c r="W6" s="7"/>
      <c r="X6" s="7"/>
      <c r="Y6" s="24"/>
    </row>
    <row r="7" spans="1:25" ht="12.75">
      <c r="A7" s="10" t="s">
        <v>116</v>
      </c>
      <c r="B7" s="7"/>
      <c r="C7" s="7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4"/>
      <c r="W7" s="7"/>
      <c r="X7" s="7"/>
      <c r="Y7" s="24"/>
    </row>
    <row r="8" spans="1:25" ht="12.75">
      <c r="A8" s="10" t="s">
        <v>117</v>
      </c>
      <c r="B8" s="7"/>
      <c r="C8" s="7"/>
      <c r="D8" s="9"/>
      <c r="E8" s="9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4"/>
      <c r="W8" s="7"/>
      <c r="X8" s="7"/>
      <c r="Y8" s="24"/>
    </row>
    <row r="9" spans="1:25" ht="12.75">
      <c r="A9" s="6" t="s">
        <v>125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4"/>
      <c r="W9" s="7"/>
      <c r="X9" s="7"/>
      <c r="Y9" s="24"/>
    </row>
    <row r="10" spans="1:25" ht="12.75">
      <c r="A10" s="10" t="s">
        <v>118</v>
      </c>
      <c r="B10" s="7"/>
      <c r="C10" s="7"/>
      <c r="D10" s="7"/>
      <c r="E10" s="11"/>
      <c r="F10" s="11"/>
      <c r="G10" s="9"/>
      <c r="H10" s="9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4"/>
      <c r="W10" s="7"/>
      <c r="X10" s="7"/>
      <c r="Y10" s="24"/>
    </row>
    <row r="11" spans="1:25" ht="12.75">
      <c r="A11" s="10" t="s">
        <v>119</v>
      </c>
      <c r="B11" s="7"/>
      <c r="C11" s="7"/>
      <c r="D11" s="7"/>
      <c r="E11" s="7"/>
      <c r="F11" s="7"/>
      <c r="G11" s="9"/>
      <c r="H11" s="9"/>
      <c r="I11" s="9"/>
      <c r="J11" s="1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4"/>
      <c r="W11" s="7"/>
      <c r="X11" s="7"/>
      <c r="Y11" s="24"/>
    </row>
    <row r="12" spans="1:25" ht="12.75">
      <c r="A12" s="10" t="s">
        <v>120</v>
      </c>
      <c r="B12" s="7"/>
      <c r="C12" s="7"/>
      <c r="D12" s="7"/>
      <c r="E12" s="7"/>
      <c r="F12" s="7"/>
      <c r="G12" s="7"/>
      <c r="H12" s="7"/>
      <c r="I12" s="9"/>
      <c r="J12" s="9"/>
      <c r="K12" s="9"/>
      <c r="L12" s="11"/>
      <c r="M12" s="11"/>
      <c r="N12" s="11"/>
      <c r="O12" s="7"/>
      <c r="P12" s="7"/>
      <c r="Q12" s="7"/>
      <c r="R12" s="7"/>
      <c r="S12" s="7"/>
      <c r="T12" s="7"/>
      <c r="U12" s="7"/>
      <c r="V12" s="24"/>
      <c r="W12" s="7"/>
      <c r="X12" s="7"/>
      <c r="Y12" s="24"/>
    </row>
    <row r="13" spans="1:25" ht="12.75">
      <c r="A13" s="6" t="s">
        <v>126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4"/>
      <c r="W13" s="7"/>
      <c r="X13" s="7"/>
      <c r="Y13" s="24"/>
    </row>
    <row r="14" spans="1:25" ht="12.75">
      <c r="A14" s="10" t="s">
        <v>1</v>
      </c>
      <c r="B14" s="7"/>
      <c r="C14" s="7"/>
      <c r="D14" s="7"/>
      <c r="E14" s="7"/>
      <c r="F14" s="7"/>
      <c r="G14" s="7"/>
      <c r="H14" s="9"/>
      <c r="I14" s="9"/>
      <c r="J14" s="9"/>
      <c r="K14" s="9"/>
      <c r="L14" s="9"/>
      <c r="M14" s="7"/>
      <c r="N14" s="7"/>
      <c r="O14" s="7"/>
      <c r="P14" s="7"/>
      <c r="Q14" s="7"/>
      <c r="R14" s="7"/>
      <c r="S14" s="7"/>
      <c r="T14" s="7"/>
      <c r="U14" s="7"/>
      <c r="V14" s="24"/>
      <c r="W14" s="7"/>
      <c r="X14" s="7"/>
      <c r="Y14" s="24"/>
    </row>
    <row r="15" spans="1:25" ht="12.75">
      <c r="A15" s="8" t="s">
        <v>240</v>
      </c>
      <c r="B15" s="7"/>
      <c r="C15" s="7"/>
      <c r="D15" s="7"/>
      <c r="E15" s="7"/>
      <c r="F15" s="7"/>
      <c r="G15" s="7"/>
      <c r="H15" s="7"/>
      <c r="I15" s="7"/>
      <c r="J15" s="9"/>
      <c r="K15" s="9"/>
      <c r="L15" s="7"/>
      <c r="M15" s="7"/>
      <c r="N15" s="7"/>
      <c r="O15" s="7"/>
      <c r="P15" s="7"/>
      <c r="Q15" s="7"/>
      <c r="R15" s="7"/>
      <c r="S15" s="7"/>
      <c r="T15" s="7"/>
      <c r="U15" s="7"/>
      <c r="V15" s="24"/>
      <c r="W15" s="7"/>
      <c r="X15" s="7"/>
      <c r="Y15" s="24"/>
    </row>
    <row r="16" spans="1:25" ht="12.75">
      <c r="A16" s="10" t="s">
        <v>121</v>
      </c>
      <c r="B16" s="7"/>
      <c r="C16" s="7"/>
      <c r="D16" s="7"/>
      <c r="E16" s="7"/>
      <c r="F16" s="7"/>
      <c r="G16" s="7"/>
      <c r="H16" s="7"/>
      <c r="I16" s="7"/>
      <c r="J16" s="7"/>
      <c r="K16" s="9"/>
      <c r="L16" s="9"/>
      <c r="M16" s="9"/>
      <c r="N16" s="7"/>
      <c r="O16" s="7"/>
      <c r="P16" s="7"/>
      <c r="Q16" s="7"/>
      <c r="R16" s="7"/>
      <c r="S16" s="7"/>
      <c r="T16" s="7"/>
      <c r="U16" s="7"/>
      <c r="V16" s="24"/>
      <c r="W16" s="7"/>
      <c r="X16" s="7"/>
      <c r="Y16" s="24"/>
    </row>
    <row r="17" spans="1:25" ht="12.75">
      <c r="A17" s="10" t="s">
        <v>122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9"/>
      <c r="N17" s="7"/>
      <c r="O17" s="7"/>
      <c r="P17" s="7"/>
      <c r="Q17" s="7"/>
      <c r="R17" s="7"/>
      <c r="S17" s="7"/>
      <c r="T17" s="7"/>
      <c r="U17" s="7"/>
      <c r="V17" s="24"/>
      <c r="W17" s="7"/>
      <c r="X17" s="7"/>
      <c r="Y17" s="24"/>
    </row>
    <row r="18" spans="1:25" ht="12.75">
      <c r="A18" s="10" t="s">
        <v>123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"/>
      <c r="O18" s="7"/>
      <c r="P18" s="7"/>
      <c r="Q18" s="7"/>
      <c r="R18" s="7"/>
      <c r="S18" s="7"/>
      <c r="T18" s="7"/>
      <c r="U18" s="7"/>
      <c r="V18" s="24"/>
      <c r="W18" s="7"/>
      <c r="X18" s="7"/>
      <c r="Y18" s="24"/>
    </row>
    <row r="19" spans="1:25" ht="12.75">
      <c r="A19" s="6" t="s">
        <v>201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4"/>
      <c r="W19" s="7"/>
      <c r="X19" s="7"/>
      <c r="Y19" s="24"/>
    </row>
    <row r="20" spans="1:25" ht="12.75">
      <c r="A20" s="14" t="s">
        <v>197</v>
      </c>
      <c r="B20" s="7"/>
      <c r="C20" s="7"/>
      <c r="D20" s="7"/>
      <c r="E20" s="7"/>
      <c r="F20" s="114"/>
      <c r="G20" s="114"/>
      <c r="H20" s="114"/>
      <c r="I20" s="1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4"/>
      <c r="W20" s="7"/>
      <c r="X20" s="7"/>
      <c r="Y20" s="24"/>
    </row>
    <row r="21" spans="1:25" ht="12.75">
      <c r="A21" s="14" t="s">
        <v>198</v>
      </c>
      <c r="B21" s="7"/>
      <c r="C21" s="7"/>
      <c r="D21" s="7"/>
      <c r="E21" s="7"/>
      <c r="F21" s="7"/>
      <c r="G21" s="7"/>
      <c r="H21" s="7"/>
      <c r="I21" s="7"/>
      <c r="J21" s="114"/>
      <c r="K21" s="114"/>
      <c r="L21" s="7"/>
      <c r="M21" s="7"/>
      <c r="N21" s="7"/>
      <c r="O21" s="7"/>
      <c r="P21" s="7"/>
      <c r="Q21" s="7"/>
      <c r="R21" s="7"/>
      <c r="S21" s="7"/>
      <c r="T21" s="7"/>
      <c r="U21" s="7"/>
      <c r="V21" s="24"/>
      <c r="W21" s="7"/>
      <c r="X21" s="7"/>
      <c r="Y21" s="24"/>
    </row>
    <row r="22" spans="1:25" ht="12.75">
      <c r="A22" s="14" t="s">
        <v>199</v>
      </c>
      <c r="B22" s="7"/>
      <c r="C22" s="7"/>
      <c r="D22" s="7"/>
      <c r="E22" s="7"/>
      <c r="F22" s="7"/>
      <c r="G22" s="7"/>
      <c r="H22" s="7"/>
      <c r="I22" s="7"/>
      <c r="J22" s="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24"/>
      <c r="W22" s="7"/>
      <c r="X22" s="7"/>
      <c r="Y22" s="24"/>
    </row>
    <row r="23" spans="1:25" ht="12.75">
      <c r="A23" s="14" t="s">
        <v>200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9"/>
      <c r="R23" s="9"/>
      <c r="S23" s="9"/>
      <c r="T23" s="9"/>
      <c r="U23" s="9"/>
      <c r="V23" s="24"/>
      <c r="W23" s="7"/>
      <c r="X23" s="7"/>
      <c r="Y23" s="24"/>
    </row>
    <row r="24" spans="1:25" ht="12.75">
      <c r="A24" s="6" t="s">
        <v>202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1"/>
      <c r="Q24" s="11"/>
      <c r="R24" s="11"/>
      <c r="S24" s="11"/>
      <c r="T24" s="11"/>
      <c r="U24" s="11"/>
      <c r="V24" s="24"/>
      <c r="W24" s="7"/>
      <c r="X24" s="7"/>
      <c r="Y24" s="24"/>
    </row>
    <row r="25" spans="1:25" ht="12.75">
      <c r="A25" s="8" t="s">
        <v>252</v>
      </c>
      <c r="B25" s="7"/>
      <c r="C25" s="7"/>
      <c r="D25" s="7"/>
      <c r="E25" s="7"/>
      <c r="F25" s="7"/>
      <c r="G25" s="7"/>
      <c r="H25" s="7"/>
      <c r="I25" s="7"/>
      <c r="J25" s="9"/>
      <c r="K25" s="9"/>
      <c r="L25" s="9"/>
      <c r="M25" s="9"/>
      <c r="N25" s="7"/>
      <c r="O25" s="7"/>
      <c r="P25" s="11"/>
      <c r="Q25" s="11"/>
      <c r="R25" s="11"/>
      <c r="S25" s="11"/>
      <c r="T25" s="11"/>
      <c r="U25" s="11"/>
      <c r="V25" s="24"/>
      <c r="W25" s="9"/>
      <c r="X25" s="9"/>
      <c r="Y25" s="24"/>
    </row>
    <row r="26" spans="1:25" ht="12.75">
      <c r="A26" s="10" t="s">
        <v>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9"/>
      <c r="O26" s="7"/>
      <c r="P26" s="7"/>
      <c r="Q26" s="7"/>
      <c r="R26" s="7"/>
      <c r="S26" s="7"/>
      <c r="T26" s="7"/>
      <c r="U26" s="7"/>
      <c r="V26" s="24"/>
      <c r="W26" s="7"/>
      <c r="X26" s="7"/>
      <c r="Y26" s="24"/>
    </row>
    <row r="27" spans="1:25" ht="12.75">
      <c r="A27" s="10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9"/>
      <c r="O27" s="7"/>
      <c r="P27" s="7"/>
      <c r="Q27" s="7"/>
      <c r="R27" s="7"/>
      <c r="S27" s="7"/>
      <c r="T27" s="7"/>
      <c r="U27" s="7"/>
      <c r="V27" s="24"/>
      <c r="W27" s="7"/>
      <c r="X27" s="7"/>
      <c r="Y27" s="24"/>
    </row>
    <row r="28" spans="1:25" ht="12.75">
      <c r="A28" s="10" t="s">
        <v>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9"/>
      <c r="O28" s="9"/>
      <c r="P28" s="9"/>
      <c r="Q28" s="7"/>
      <c r="R28" s="7"/>
      <c r="S28" s="7"/>
      <c r="T28" s="7"/>
      <c r="U28" s="7"/>
      <c r="V28" s="24"/>
      <c r="W28" s="7"/>
      <c r="X28" s="7"/>
      <c r="Y28" s="24"/>
    </row>
    <row r="29" spans="1:25" ht="12.75">
      <c r="A29" s="10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  <c r="R29" s="9"/>
      <c r="S29" s="9"/>
      <c r="T29" s="9"/>
      <c r="U29" s="9"/>
      <c r="V29" s="32"/>
      <c r="W29" s="9"/>
      <c r="X29" s="9"/>
      <c r="Y29" s="32"/>
    </row>
    <row r="31" spans="1:24" ht="18">
      <c r="A31" s="89" t="s">
        <v>63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</row>
    <row r="32" spans="2:24" ht="12.75">
      <c r="B32" s="12" t="s"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W32" s="12" t="s">
        <v>15</v>
      </c>
      <c r="X32" s="13"/>
    </row>
    <row r="33" spans="1:25" ht="12.75">
      <c r="A33" s="5"/>
      <c r="B33" s="5">
        <v>1</v>
      </c>
      <c r="C33" s="5">
        <v>2</v>
      </c>
      <c r="D33" s="5">
        <v>3</v>
      </c>
      <c r="E33" s="5">
        <v>4</v>
      </c>
      <c r="F33" s="5">
        <v>5</v>
      </c>
      <c r="G33" s="5">
        <v>6</v>
      </c>
      <c r="H33" s="5">
        <v>7</v>
      </c>
      <c r="I33" s="5">
        <v>8</v>
      </c>
      <c r="J33" s="5">
        <v>9</v>
      </c>
      <c r="K33" s="5">
        <v>10</v>
      </c>
      <c r="L33" s="5">
        <v>11</v>
      </c>
      <c r="M33" s="5">
        <v>12</v>
      </c>
      <c r="N33" s="5">
        <v>13</v>
      </c>
      <c r="O33" s="5">
        <v>14</v>
      </c>
      <c r="P33" s="5">
        <v>15</v>
      </c>
      <c r="Q33" s="5">
        <v>16</v>
      </c>
      <c r="R33" s="5">
        <v>17</v>
      </c>
      <c r="S33" s="5">
        <v>18</v>
      </c>
      <c r="T33" s="5">
        <v>19</v>
      </c>
      <c r="U33" s="5">
        <v>20</v>
      </c>
      <c r="V33" s="37"/>
      <c r="W33" s="5">
        <v>6</v>
      </c>
      <c r="X33" s="5">
        <v>7</v>
      </c>
      <c r="Y33" s="29"/>
    </row>
    <row r="34" spans="1:25" ht="12.75">
      <c r="A34" s="93" t="s">
        <v>127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4"/>
      <c r="W34" s="7"/>
      <c r="X34" s="7"/>
      <c r="Y34" s="24"/>
    </row>
    <row r="35" spans="1:25" ht="12.75">
      <c r="A35" s="94" t="s">
        <v>8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</v>
      </c>
      <c r="K35" s="20">
        <v>2</v>
      </c>
      <c r="L35" s="20">
        <v>3</v>
      </c>
      <c r="M35" s="20">
        <v>4</v>
      </c>
      <c r="N35" s="20">
        <v>6</v>
      </c>
      <c r="O35" s="20">
        <v>6</v>
      </c>
      <c r="P35" s="20">
        <v>6</v>
      </c>
      <c r="Q35" s="20">
        <v>6</v>
      </c>
      <c r="R35" s="20">
        <v>9</v>
      </c>
      <c r="S35" s="20">
        <v>9</v>
      </c>
      <c r="T35" s="20">
        <v>9</v>
      </c>
      <c r="U35" s="20">
        <v>9</v>
      </c>
      <c r="V35" s="31"/>
      <c r="W35" s="68">
        <v>9</v>
      </c>
      <c r="X35" s="68">
        <v>12</v>
      </c>
      <c r="Y35" s="31"/>
    </row>
    <row r="36" spans="1:25" ht="12.75">
      <c r="A36" s="10" t="s">
        <v>128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2</v>
      </c>
      <c r="K36" s="20">
        <v>2</v>
      </c>
      <c r="L36" s="20">
        <v>2</v>
      </c>
      <c r="M36" s="20">
        <v>2</v>
      </c>
      <c r="N36" s="20">
        <v>5</v>
      </c>
      <c r="O36" s="20">
        <v>5</v>
      </c>
      <c r="P36" s="20">
        <v>5</v>
      </c>
      <c r="Q36" s="20">
        <v>5</v>
      </c>
      <c r="R36" s="20">
        <v>10</v>
      </c>
      <c r="S36" s="20">
        <v>10</v>
      </c>
      <c r="T36" s="20">
        <v>10</v>
      </c>
      <c r="U36" s="20">
        <v>10</v>
      </c>
      <c r="V36" s="31"/>
      <c r="W36" s="68">
        <v>18</v>
      </c>
      <c r="X36" s="68">
        <v>35</v>
      </c>
      <c r="Y36" s="31"/>
    </row>
    <row r="37" spans="1:25" ht="12.75">
      <c r="A37" s="16" t="s">
        <v>13</v>
      </c>
      <c r="B37" s="7"/>
      <c r="C37" s="7"/>
      <c r="D37" s="7"/>
      <c r="E37" s="7"/>
      <c r="F37" s="7"/>
      <c r="G37" s="7"/>
      <c r="H37" s="7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1"/>
      <c r="W37" s="68"/>
      <c r="X37" s="68"/>
      <c r="Y37" s="31"/>
    </row>
    <row r="38" spans="1:25" ht="12.75">
      <c r="A38" s="18" t="s">
        <v>129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4"/>
      <c r="W38" s="68"/>
      <c r="X38" s="68"/>
      <c r="Y38" s="24"/>
    </row>
    <row r="39" spans="1:25" ht="12.75">
      <c r="A39" s="19" t="s">
        <v>8</v>
      </c>
      <c r="B39" s="20">
        <v>1</v>
      </c>
      <c r="C39" s="20">
        <v>1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2</v>
      </c>
      <c r="L39" s="20">
        <v>2</v>
      </c>
      <c r="M39" s="20">
        <v>2</v>
      </c>
      <c r="N39" s="20">
        <v>2</v>
      </c>
      <c r="O39" s="20">
        <v>2</v>
      </c>
      <c r="P39" s="20">
        <v>2</v>
      </c>
      <c r="Q39" s="20">
        <v>2</v>
      </c>
      <c r="R39" s="20">
        <v>2</v>
      </c>
      <c r="S39" s="20">
        <v>2</v>
      </c>
      <c r="T39" s="20">
        <v>2</v>
      </c>
      <c r="U39" s="20">
        <v>2</v>
      </c>
      <c r="V39" s="31"/>
      <c r="W39" s="68">
        <v>3</v>
      </c>
      <c r="X39" s="68">
        <v>5</v>
      </c>
      <c r="Y39" s="31"/>
    </row>
    <row r="40" spans="1:25" ht="12.75">
      <c r="A40" s="19" t="s">
        <v>9</v>
      </c>
      <c r="B40" s="20">
        <v>1</v>
      </c>
      <c r="C40" s="20">
        <v>1</v>
      </c>
      <c r="D40" s="20">
        <v>1</v>
      </c>
      <c r="E40" s="20">
        <v>1</v>
      </c>
      <c r="F40" s="20">
        <v>2</v>
      </c>
      <c r="G40" s="20">
        <v>2</v>
      </c>
      <c r="H40" s="20">
        <v>2</v>
      </c>
      <c r="I40" s="20">
        <v>4</v>
      </c>
      <c r="J40" s="20">
        <v>4</v>
      </c>
      <c r="K40" s="20">
        <v>4</v>
      </c>
      <c r="L40" s="20">
        <v>4</v>
      </c>
      <c r="M40" s="20">
        <v>4</v>
      </c>
      <c r="N40" s="20">
        <v>4</v>
      </c>
      <c r="O40" s="20">
        <v>4</v>
      </c>
      <c r="P40" s="20">
        <v>4</v>
      </c>
      <c r="Q40" s="20">
        <v>4</v>
      </c>
      <c r="R40" s="20">
        <v>4</v>
      </c>
      <c r="S40" s="20">
        <v>4</v>
      </c>
      <c r="T40" s="20">
        <v>4</v>
      </c>
      <c r="U40" s="20">
        <v>4</v>
      </c>
      <c r="V40" s="31"/>
      <c r="W40" s="68">
        <v>7</v>
      </c>
      <c r="X40" s="68">
        <v>10</v>
      </c>
      <c r="Y40" s="31"/>
    </row>
    <row r="41" spans="1:25" ht="12.75">
      <c r="A41" s="18" t="s">
        <v>130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4"/>
      <c r="W41" s="68"/>
      <c r="X41" s="68"/>
      <c r="Y41" s="24"/>
    </row>
    <row r="42" spans="1:25" ht="12.75">
      <c r="A42" s="19" t="s">
        <v>8</v>
      </c>
      <c r="B42" s="20">
        <v>1</v>
      </c>
      <c r="C42" s="20">
        <v>1</v>
      </c>
      <c r="D42" s="20">
        <v>1</v>
      </c>
      <c r="E42" s="20">
        <v>1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20">
        <v>1</v>
      </c>
      <c r="L42" s="20">
        <v>1</v>
      </c>
      <c r="M42" s="20">
        <v>1</v>
      </c>
      <c r="N42" s="20">
        <v>1</v>
      </c>
      <c r="O42" s="20">
        <v>1</v>
      </c>
      <c r="P42" s="20">
        <v>1</v>
      </c>
      <c r="Q42" s="20">
        <v>1</v>
      </c>
      <c r="R42" s="20">
        <v>1</v>
      </c>
      <c r="S42" s="20">
        <v>1</v>
      </c>
      <c r="T42" s="20">
        <v>1</v>
      </c>
      <c r="U42" s="20">
        <v>1</v>
      </c>
      <c r="V42" s="31"/>
      <c r="W42" s="68">
        <v>3</v>
      </c>
      <c r="X42" s="68">
        <v>5</v>
      </c>
      <c r="Y42" s="31"/>
    </row>
    <row r="43" spans="1:25" ht="12.75">
      <c r="A43" s="19" t="s">
        <v>9</v>
      </c>
      <c r="B43" s="20">
        <v>1</v>
      </c>
      <c r="C43" s="20">
        <v>1</v>
      </c>
      <c r="D43" s="20">
        <v>1</v>
      </c>
      <c r="E43" s="20">
        <v>1</v>
      </c>
      <c r="F43" s="20">
        <v>2</v>
      </c>
      <c r="G43" s="20">
        <v>2</v>
      </c>
      <c r="H43" s="20">
        <v>2</v>
      </c>
      <c r="I43" s="20">
        <v>4</v>
      </c>
      <c r="J43" s="20">
        <v>4</v>
      </c>
      <c r="K43" s="20">
        <v>4</v>
      </c>
      <c r="L43" s="20">
        <v>4</v>
      </c>
      <c r="M43" s="20">
        <v>4</v>
      </c>
      <c r="N43" s="20">
        <v>4</v>
      </c>
      <c r="O43" s="20">
        <v>4</v>
      </c>
      <c r="P43" s="20">
        <v>4</v>
      </c>
      <c r="Q43" s="20">
        <v>4</v>
      </c>
      <c r="R43" s="20">
        <v>4</v>
      </c>
      <c r="S43" s="20">
        <v>4</v>
      </c>
      <c r="T43" s="20">
        <v>4</v>
      </c>
      <c r="U43" s="20">
        <v>4</v>
      </c>
      <c r="V43" s="31"/>
      <c r="W43" s="68">
        <v>7</v>
      </c>
      <c r="X43" s="68">
        <v>10</v>
      </c>
      <c r="Y43" s="31"/>
    </row>
    <row r="44" spans="1:25" ht="12.75">
      <c r="A44" s="16" t="s">
        <v>12</v>
      </c>
      <c r="B44" s="7"/>
      <c r="C44" s="7"/>
      <c r="D44" s="7"/>
      <c r="E44" s="7"/>
      <c r="F44" s="7"/>
      <c r="G44" s="7"/>
      <c r="H44" s="7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1"/>
      <c r="W44" s="68"/>
      <c r="X44" s="68"/>
      <c r="Y44" s="31"/>
    </row>
    <row r="45" spans="1:25" ht="12.75">
      <c r="A45" s="8" t="s">
        <v>131</v>
      </c>
      <c r="B45" s="21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4</v>
      </c>
      <c r="N45" s="20">
        <v>4</v>
      </c>
      <c r="O45" s="20">
        <v>8</v>
      </c>
      <c r="P45" s="20">
        <v>12</v>
      </c>
      <c r="Q45" s="20">
        <v>12</v>
      </c>
      <c r="R45" s="20">
        <v>12</v>
      </c>
      <c r="S45" s="20">
        <v>12</v>
      </c>
      <c r="T45" s="20">
        <v>12</v>
      </c>
      <c r="U45" s="20">
        <v>12</v>
      </c>
      <c r="V45" s="31"/>
      <c r="W45" s="68">
        <v>25</v>
      </c>
      <c r="X45" s="68">
        <v>50</v>
      </c>
      <c r="Y45" s="31"/>
    </row>
    <row r="46" spans="1:25" ht="25.5">
      <c r="A46" s="115" t="s">
        <v>203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1</v>
      </c>
      <c r="H46" s="20">
        <v>1</v>
      </c>
      <c r="I46" s="20">
        <v>1</v>
      </c>
      <c r="J46" s="20">
        <v>1</v>
      </c>
      <c r="K46" s="20">
        <v>1</v>
      </c>
      <c r="L46" s="20">
        <v>2</v>
      </c>
      <c r="M46" s="20">
        <v>2</v>
      </c>
      <c r="N46" s="20">
        <v>3</v>
      </c>
      <c r="O46" s="20">
        <v>3</v>
      </c>
      <c r="P46" s="20">
        <v>3</v>
      </c>
      <c r="Q46" s="20">
        <v>3</v>
      </c>
      <c r="R46" s="20">
        <v>3</v>
      </c>
      <c r="S46" s="20">
        <v>4</v>
      </c>
      <c r="T46" s="20">
        <v>4</v>
      </c>
      <c r="U46" s="20">
        <v>4</v>
      </c>
      <c r="V46" s="31"/>
      <c r="W46" s="68">
        <v>5</v>
      </c>
      <c r="X46" s="68">
        <v>5</v>
      </c>
      <c r="Y46" s="31"/>
    </row>
    <row r="47" spans="1:25" ht="12.75">
      <c r="A47" s="8" t="s">
        <v>132</v>
      </c>
      <c r="B47" s="20">
        <v>1</v>
      </c>
      <c r="C47" s="20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1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2</v>
      </c>
      <c r="U47" s="20">
        <v>2</v>
      </c>
      <c r="V47" s="31"/>
      <c r="W47" s="68">
        <v>2</v>
      </c>
      <c r="X47" s="68">
        <v>2</v>
      </c>
      <c r="Y47" s="31"/>
    </row>
    <row r="48" spans="1:25" ht="12.75">
      <c r="A48" s="8" t="s">
        <v>10</v>
      </c>
      <c r="B48" s="20">
        <v>0</v>
      </c>
      <c r="C48" s="20">
        <v>0</v>
      </c>
      <c r="D48" s="20">
        <v>0</v>
      </c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  <c r="M48" s="20">
        <v>1</v>
      </c>
      <c r="N48" s="20">
        <v>2</v>
      </c>
      <c r="O48" s="20">
        <v>4</v>
      </c>
      <c r="P48" s="20">
        <v>4</v>
      </c>
      <c r="Q48" s="20">
        <v>4</v>
      </c>
      <c r="R48" s="20">
        <v>4</v>
      </c>
      <c r="S48" s="20">
        <v>5</v>
      </c>
      <c r="T48" s="20">
        <v>5</v>
      </c>
      <c r="U48" s="20">
        <v>5</v>
      </c>
      <c r="V48" s="31"/>
      <c r="W48" s="68">
        <v>5</v>
      </c>
      <c r="X48" s="68">
        <v>5</v>
      </c>
      <c r="Y48" s="31"/>
    </row>
    <row r="49" spans="1:25" ht="12.75">
      <c r="A49" s="8" t="s">
        <v>223</v>
      </c>
      <c r="B49" s="20">
        <v>0</v>
      </c>
      <c r="C49" s="20">
        <v>0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2</v>
      </c>
      <c r="O49" s="20">
        <v>4</v>
      </c>
      <c r="P49" s="20">
        <v>4</v>
      </c>
      <c r="Q49" s="20">
        <v>4</v>
      </c>
      <c r="R49" s="20">
        <v>4</v>
      </c>
      <c r="S49" s="20">
        <v>4</v>
      </c>
      <c r="T49" s="20">
        <v>4</v>
      </c>
      <c r="U49" s="20">
        <v>5</v>
      </c>
      <c r="V49" s="31"/>
      <c r="W49" s="68">
        <v>5</v>
      </c>
      <c r="X49" s="68">
        <v>5</v>
      </c>
      <c r="Y49" s="31"/>
    </row>
    <row r="50" spans="1:25" ht="12.75">
      <c r="A50" s="8" t="s">
        <v>133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0">
        <v>1</v>
      </c>
      <c r="N50" s="20">
        <v>1</v>
      </c>
      <c r="O50" s="20">
        <v>1</v>
      </c>
      <c r="P50" s="20">
        <v>2</v>
      </c>
      <c r="Q50" s="20">
        <v>2</v>
      </c>
      <c r="R50" s="20">
        <v>2</v>
      </c>
      <c r="S50" s="20">
        <v>3</v>
      </c>
      <c r="T50" s="20">
        <v>3</v>
      </c>
      <c r="U50" s="20">
        <v>3</v>
      </c>
      <c r="V50" s="31"/>
      <c r="W50" s="68">
        <v>4</v>
      </c>
      <c r="X50" s="68">
        <v>5</v>
      </c>
      <c r="Y50" s="31"/>
    </row>
    <row r="51" spans="1:25" ht="12.75">
      <c r="A51" s="8" t="s">
        <v>11</v>
      </c>
      <c r="B51" s="20">
        <v>1</v>
      </c>
      <c r="C51" s="20">
        <v>1</v>
      </c>
      <c r="D51" s="20">
        <v>1</v>
      </c>
      <c r="E51" s="20">
        <v>1</v>
      </c>
      <c r="F51" s="20">
        <v>2</v>
      </c>
      <c r="G51" s="20">
        <v>2</v>
      </c>
      <c r="H51" s="20">
        <v>2</v>
      </c>
      <c r="I51" s="20">
        <v>2</v>
      </c>
      <c r="J51" s="20">
        <v>2</v>
      </c>
      <c r="K51" s="20">
        <v>2</v>
      </c>
      <c r="L51" s="20">
        <v>2</v>
      </c>
      <c r="M51" s="20">
        <v>4</v>
      </c>
      <c r="N51" s="20">
        <v>4</v>
      </c>
      <c r="O51" s="20">
        <v>4</v>
      </c>
      <c r="P51" s="20">
        <v>4</v>
      </c>
      <c r="Q51" s="20">
        <v>6</v>
      </c>
      <c r="R51" s="20">
        <v>6</v>
      </c>
      <c r="S51" s="20">
        <v>6</v>
      </c>
      <c r="T51" s="20">
        <v>6</v>
      </c>
      <c r="U51" s="20">
        <v>6</v>
      </c>
      <c r="V51" s="31"/>
      <c r="W51" s="68">
        <v>8</v>
      </c>
      <c r="X51" s="68">
        <v>8</v>
      </c>
      <c r="Y51" s="31"/>
    </row>
    <row r="52" spans="23:24" ht="12.75">
      <c r="W52" s="31"/>
      <c r="X52" s="31"/>
    </row>
    <row r="53" spans="1:24" ht="12.75">
      <c r="A53" s="15" t="s">
        <v>64</v>
      </c>
      <c r="W53" s="31"/>
      <c r="X53" s="31"/>
    </row>
    <row r="54" spans="1:24" ht="12.75">
      <c r="A54" s="15" t="s">
        <v>31</v>
      </c>
      <c r="W54" s="31"/>
      <c r="X54" s="31"/>
    </row>
    <row r="55" spans="1:24" ht="12.75">
      <c r="A55" s="4" t="s">
        <v>14</v>
      </c>
      <c r="B55">
        <f>SUM(B35:B36)</f>
        <v>0</v>
      </c>
      <c r="C55">
        <f aca="true" t="shared" si="0" ref="C55:U55">SUM(C35:C36)</f>
        <v>0</v>
      </c>
      <c r="D55">
        <f t="shared" si="0"/>
        <v>0</v>
      </c>
      <c r="E55">
        <f t="shared" si="0"/>
        <v>0</v>
      </c>
      <c r="F55">
        <f t="shared" si="0"/>
        <v>0</v>
      </c>
      <c r="G55">
        <f t="shared" si="0"/>
        <v>0</v>
      </c>
      <c r="H55">
        <f t="shared" si="0"/>
        <v>0</v>
      </c>
      <c r="I55">
        <f t="shared" si="0"/>
        <v>0</v>
      </c>
      <c r="J55">
        <f t="shared" si="0"/>
        <v>3</v>
      </c>
      <c r="K55">
        <f t="shared" si="0"/>
        <v>4</v>
      </c>
      <c r="L55">
        <f t="shared" si="0"/>
        <v>5</v>
      </c>
      <c r="M55">
        <f t="shared" si="0"/>
        <v>6</v>
      </c>
      <c r="N55">
        <f t="shared" si="0"/>
        <v>11</v>
      </c>
      <c r="O55">
        <f t="shared" si="0"/>
        <v>11</v>
      </c>
      <c r="P55">
        <f t="shared" si="0"/>
        <v>11</v>
      </c>
      <c r="Q55">
        <f t="shared" si="0"/>
        <v>11</v>
      </c>
      <c r="R55">
        <f t="shared" si="0"/>
        <v>19</v>
      </c>
      <c r="S55">
        <f t="shared" si="0"/>
        <v>19</v>
      </c>
      <c r="T55">
        <f t="shared" si="0"/>
        <v>19</v>
      </c>
      <c r="U55">
        <f t="shared" si="0"/>
        <v>19</v>
      </c>
      <c r="W55">
        <f>SUM(W35:W36)</f>
        <v>27</v>
      </c>
      <c r="X55">
        <f>SUM(X35:X36)</f>
        <v>47</v>
      </c>
    </row>
    <row r="56" spans="1:24" ht="12.75">
      <c r="A56" s="4" t="s">
        <v>13</v>
      </c>
      <c r="B56">
        <f>SUM(B39:B43)</f>
        <v>4</v>
      </c>
      <c r="C56">
        <f aca="true" t="shared" si="1" ref="C56:U56">SUM(C39:C43)</f>
        <v>4</v>
      </c>
      <c r="D56">
        <f t="shared" si="1"/>
        <v>4</v>
      </c>
      <c r="E56">
        <f t="shared" si="1"/>
        <v>4</v>
      </c>
      <c r="F56">
        <f t="shared" si="1"/>
        <v>6</v>
      </c>
      <c r="G56">
        <f t="shared" si="1"/>
        <v>6</v>
      </c>
      <c r="H56">
        <f t="shared" si="1"/>
        <v>6</v>
      </c>
      <c r="I56">
        <f t="shared" si="1"/>
        <v>10</v>
      </c>
      <c r="J56">
        <f t="shared" si="1"/>
        <v>10</v>
      </c>
      <c r="K56">
        <f t="shared" si="1"/>
        <v>11</v>
      </c>
      <c r="L56">
        <f t="shared" si="1"/>
        <v>11</v>
      </c>
      <c r="M56">
        <f t="shared" si="1"/>
        <v>11</v>
      </c>
      <c r="N56">
        <f t="shared" si="1"/>
        <v>11</v>
      </c>
      <c r="O56">
        <f t="shared" si="1"/>
        <v>11</v>
      </c>
      <c r="P56">
        <f t="shared" si="1"/>
        <v>11</v>
      </c>
      <c r="Q56">
        <f t="shared" si="1"/>
        <v>11</v>
      </c>
      <c r="R56">
        <f t="shared" si="1"/>
        <v>11</v>
      </c>
      <c r="S56">
        <f t="shared" si="1"/>
        <v>11</v>
      </c>
      <c r="T56">
        <f t="shared" si="1"/>
        <v>11</v>
      </c>
      <c r="U56">
        <f t="shared" si="1"/>
        <v>11</v>
      </c>
      <c r="W56">
        <f>SUM(W39:W43)</f>
        <v>20</v>
      </c>
      <c r="X56">
        <f>SUM(X39:X43)</f>
        <v>30</v>
      </c>
    </row>
    <row r="57" spans="1:24" ht="12.75">
      <c r="A57" s="4" t="s">
        <v>12</v>
      </c>
      <c r="B57">
        <f>SUM(B45:B51)</f>
        <v>2</v>
      </c>
      <c r="C57">
        <f aca="true" t="shared" si="2" ref="C57:U57">SUM(C45:C51)</f>
        <v>2</v>
      </c>
      <c r="D57">
        <f t="shared" si="2"/>
        <v>3</v>
      </c>
      <c r="E57">
        <f t="shared" si="2"/>
        <v>4</v>
      </c>
      <c r="F57">
        <f t="shared" si="2"/>
        <v>5</v>
      </c>
      <c r="G57">
        <f t="shared" si="2"/>
        <v>7</v>
      </c>
      <c r="H57">
        <f t="shared" si="2"/>
        <v>7</v>
      </c>
      <c r="I57">
        <f t="shared" si="2"/>
        <v>7</v>
      </c>
      <c r="J57">
        <f t="shared" si="2"/>
        <v>7</v>
      </c>
      <c r="K57">
        <f t="shared" si="2"/>
        <v>7</v>
      </c>
      <c r="L57">
        <f t="shared" si="2"/>
        <v>8</v>
      </c>
      <c r="M57">
        <f t="shared" si="2"/>
        <v>14</v>
      </c>
      <c r="N57">
        <f t="shared" si="2"/>
        <v>17</v>
      </c>
      <c r="O57">
        <f t="shared" si="2"/>
        <v>25</v>
      </c>
      <c r="P57">
        <f t="shared" si="2"/>
        <v>30</v>
      </c>
      <c r="Q57">
        <f t="shared" si="2"/>
        <v>32</v>
      </c>
      <c r="R57">
        <f t="shared" si="2"/>
        <v>32</v>
      </c>
      <c r="S57">
        <f t="shared" si="2"/>
        <v>35</v>
      </c>
      <c r="T57">
        <f t="shared" si="2"/>
        <v>36</v>
      </c>
      <c r="U57">
        <f t="shared" si="2"/>
        <v>37</v>
      </c>
      <c r="W57">
        <f>SUM(W45:W51)</f>
        <v>54</v>
      </c>
      <c r="X57">
        <f>SUM(X45:X51)</f>
        <v>80</v>
      </c>
    </row>
    <row r="58" ht="12.75">
      <c r="A58" s="2" t="s">
        <v>30</v>
      </c>
    </row>
    <row r="59" spans="1:26" ht="12.75">
      <c r="A59" s="4" t="s">
        <v>32</v>
      </c>
      <c r="B59">
        <f aca="true" t="shared" si="3" ref="B59:U59">B57/B56</f>
        <v>0.5</v>
      </c>
      <c r="C59">
        <f t="shared" si="3"/>
        <v>0.5</v>
      </c>
      <c r="D59">
        <f t="shared" si="3"/>
        <v>0.75</v>
      </c>
      <c r="E59">
        <f t="shared" si="3"/>
        <v>1</v>
      </c>
      <c r="F59">
        <f t="shared" si="3"/>
        <v>0.8333333333333334</v>
      </c>
      <c r="G59">
        <f t="shared" si="3"/>
        <v>1.1666666666666667</v>
      </c>
      <c r="H59">
        <f t="shared" si="3"/>
        <v>1.1666666666666667</v>
      </c>
      <c r="I59">
        <f t="shared" si="3"/>
        <v>0.7</v>
      </c>
      <c r="J59">
        <f t="shared" si="3"/>
        <v>0.7</v>
      </c>
      <c r="K59">
        <f t="shared" si="3"/>
        <v>0.6363636363636364</v>
      </c>
      <c r="L59">
        <f t="shared" si="3"/>
        <v>0.7272727272727273</v>
      </c>
      <c r="M59">
        <f t="shared" si="3"/>
        <v>1.2727272727272727</v>
      </c>
      <c r="N59">
        <f t="shared" si="3"/>
        <v>1.5454545454545454</v>
      </c>
      <c r="O59">
        <f t="shared" si="3"/>
        <v>2.272727272727273</v>
      </c>
      <c r="P59">
        <f t="shared" si="3"/>
        <v>2.727272727272727</v>
      </c>
      <c r="Q59">
        <f t="shared" si="3"/>
        <v>2.909090909090909</v>
      </c>
      <c r="R59">
        <f t="shared" si="3"/>
        <v>2.909090909090909</v>
      </c>
      <c r="S59">
        <f t="shared" si="3"/>
        <v>3.1818181818181817</v>
      </c>
      <c r="T59">
        <f t="shared" si="3"/>
        <v>3.272727272727273</v>
      </c>
      <c r="U59">
        <f t="shared" si="3"/>
        <v>3.3636363636363638</v>
      </c>
      <c r="W59">
        <f>W57/W56</f>
        <v>2.7</v>
      </c>
      <c r="X59">
        <f>X57/X56</f>
        <v>2.6666666666666665</v>
      </c>
      <c r="Z59" s="67"/>
    </row>
    <row r="60" spans="1:24" ht="12.75">
      <c r="A60" s="4" t="s">
        <v>134</v>
      </c>
      <c r="B60" s="1" t="s">
        <v>40</v>
      </c>
      <c r="C60" s="1" t="s">
        <v>40</v>
      </c>
      <c r="D60" s="1" t="s">
        <v>40</v>
      </c>
      <c r="E60" s="1" t="s">
        <v>40</v>
      </c>
      <c r="F60" s="1" t="s">
        <v>40</v>
      </c>
      <c r="G60" s="1" t="s">
        <v>40</v>
      </c>
      <c r="H60" s="1" t="s">
        <v>40</v>
      </c>
      <c r="I60" s="1" t="s">
        <v>40</v>
      </c>
      <c r="J60">
        <f>'Market Model_top down'!$D$20/J36</f>
        <v>11.5359552</v>
      </c>
      <c r="K60">
        <f>'Market Model_top down'!$D$20/K36</f>
        <v>11.5359552</v>
      </c>
      <c r="L60">
        <f>'Market Model_top down'!$D$20/L36</f>
        <v>11.5359552</v>
      </c>
      <c r="M60">
        <f>'Market Model_top down'!$D$20/M36</f>
        <v>11.5359552</v>
      </c>
      <c r="N60">
        <f>'Market Model_top down'!$E$20/N36</f>
        <v>92.4218781696</v>
      </c>
      <c r="O60">
        <f>'Market Model_top down'!$E$20/O36</f>
        <v>92.4218781696</v>
      </c>
      <c r="P60">
        <f>'Market Model_top down'!$E$20/P36</f>
        <v>92.4218781696</v>
      </c>
      <c r="Q60">
        <f>'Market Model_top down'!$E$20/Q36</f>
        <v>92.4218781696</v>
      </c>
      <c r="R60">
        <f>'Market Model_top down'!$F$20/R36</f>
        <v>389.15601016320016</v>
      </c>
      <c r="S60">
        <f>'Market Model_top down'!$F$20/S36</f>
        <v>389.15601016320016</v>
      </c>
      <c r="T60">
        <f>'Market Model_top down'!$F$20/T36</f>
        <v>389.15601016320016</v>
      </c>
      <c r="U60">
        <f>'Market Model_top down'!$F$20/U36</f>
        <v>389.15601016320016</v>
      </c>
      <c r="W60">
        <f>'Market Model_top down'!$G$20/W36</f>
        <v>629.1670701883393</v>
      </c>
      <c r="X60">
        <f>'Market Model_top down'!$H$20/X36</f>
        <v>635.6961624261428</v>
      </c>
    </row>
  </sheetData>
  <sheetProtection/>
  <printOptions/>
  <pageMargins left="0.75" right="0.75" top="1" bottom="1" header="0.5" footer="0.5"/>
  <pageSetup fitToHeight="2" horizontalDpi="1200" verticalDpi="1200" orientation="landscape" scale="79" r:id="rId1"/>
  <headerFooter alignWithMargins="0">
    <oddHeader>&amp;LFinancial Model Example&amp;ROperating and Employee Plans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98" zoomScaleNormal="98" zoomScalePageLayoutView="0" workbookViewId="0" topLeftCell="A1">
      <selection activeCell="A13" sqref="A13"/>
    </sheetView>
  </sheetViews>
  <sheetFormatPr defaultColWidth="9.140625" defaultRowHeight="12.75"/>
  <cols>
    <col min="1" max="1" width="43.7109375" style="0" customWidth="1"/>
    <col min="2" max="8" width="13.8515625" style="0" customWidth="1"/>
    <col min="9" max="9" width="1.57421875" style="0" customWidth="1"/>
  </cols>
  <sheetData>
    <row r="1" spans="1:4" ht="12.75">
      <c r="A1" s="41" t="s">
        <v>16</v>
      </c>
      <c r="B1" s="42"/>
      <c r="C1" s="42"/>
      <c r="D1" s="43"/>
    </row>
    <row r="2" spans="1:5" ht="12.75">
      <c r="A2" s="23" t="s">
        <v>23</v>
      </c>
      <c r="B2" s="37" t="s">
        <v>17</v>
      </c>
      <c r="C2" s="153" t="s">
        <v>18</v>
      </c>
      <c r="D2" s="153"/>
      <c r="E2" s="154"/>
    </row>
    <row r="3" spans="1:5" ht="12.75">
      <c r="A3" s="26" t="s">
        <v>26</v>
      </c>
      <c r="B3" s="30">
        <v>960000</v>
      </c>
      <c r="C3" s="155" t="s">
        <v>158</v>
      </c>
      <c r="D3" s="155"/>
      <c r="E3" s="156"/>
    </row>
    <row r="4" spans="1:5" ht="12.75">
      <c r="A4" s="26" t="s">
        <v>135</v>
      </c>
      <c r="B4" s="35">
        <v>0.02</v>
      </c>
      <c r="C4" s="155" t="s">
        <v>22</v>
      </c>
      <c r="D4" s="155"/>
      <c r="E4" s="156"/>
    </row>
    <row r="5" spans="1:5" ht="12.75">
      <c r="A5" s="26" t="s">
        <v>27</v>
      </c>
      <c r="B5" s="35">
        <v>0.28</v>
      </c>
      <c r="C5" s="155" t="s">
        <v>157</v>
      </c>
      <c r="D5" s="155"/>
      <c r="E5" s="156"/>
    </row>
    <row r="6" spans="1:5" ht="12.75">
      <c r="A6" s="26" t="s">
        <v>186</v>
      </c>
      <c r="B6" s="31">
        <v>2500</v>
      </c>
      <c r="C6" s="155" t="s">
        <v>19</v>
      </c>
      <c r="D6" s="155"/>
      <c r="E6" s="156"/>
    </row>
    <row r="7" spans="1:5" ht="12.75">
      <c r="A7" s="39" t="s">
        <v>188</v>
      </c>
      <c r="B7" s="40">
        <v>0.005</v>
      </c>
      <c r="C7" s="151" t="s">
        <v>159</v>
      </c>
      <c r="D7" s="151"/>
      <c r="E7" s="152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5.75">
      <c r="A9" s="50" t="s">
        <v>21</v>
      </c>
      <c r="B9" s="51"/>
      <c r="C9" s="52"/>
      <c r="D9" s="51"/>
      <c r="E9" s="51"/>
      <c r="F9" s="51"/>
      <c r="G9" s="51"/>
      <c r="H9" s="52"/>
    </row>
    <row r="10" spans="1:8" s="24" customFormat="1" ht="12.75">
      <c r="A10" s="7" t="s">
        <v>15</v>
      </c>
      <c r="B10" s="5" t="s">
        <v>46</v>
      </c>
      <c r="C10" s="44" t="s">
        <v>47</v>
      </c>
      <c r="D10" s="5" t="s">
        <v>48</v>
      </c>
      <c r="E10" s="59" t="s">
        <v>49</v>
      </c>
      <c r="F10" s="5" t="s">
        <v>50</v>
      </c>
      <c r="G10" s="5" t="s">
        <v>51</v>
      </c>
      <c r="H10" s="44" t="s">
        <v>52</v>
      </c>
    </row>
    <row r="11" spans="1:8" ht="12.75">
      <c r="A11" s="53" t="s">
        <v>136</v>
      </c>
      <c r="B11" s="53"/>
      <c r="C11" s="25"/>
      <c r="D11" s="53" t="s">
        <v>2</v>
      </c>
      <c r="E11" s="25"/>
      <c r="F11" s="53"/>
      <c r="G11" s="53"/>
      <c r="H11" s="25"/>
    </row>
    <row r="12" spans="1:10" ht="12.75">
      <c r="A12" s="53" t="s">
        <v>137</v>
      </c>
      <c r="B12" s="55">
        <f>$B$3</f>
        <v>960000</v>
      </c>
      <c r="C12" s="45">
        <f aca="true" t="shared" si="0" ref="C12:H12">B12*(1+$B$4)</f>
        <v>979200</v>
      </c>
      <c r="D12" s="55">
        <f t="shared" si="0"/>
        <v>998784</v>
      </c>
      <c r="E12" s="45">
        <f t="shared" si="0"/>
        <v>1018759.68</v>
      </c>
      <c r="F12" s="55">
        <f t="shared" si="0"/>
        <v>1039134.8736</v>
      </c>
      <c r="G12" s="55">
        <f t="shared" si="0"/>
        <v>1059917.571072</v>
      </c>
      <c r="H12" s="45">
        <f t="shared" si="0"/>
        <v>1081115.92249344</v>
      </c>
      <c r="J12" s="65" t="s">
        <v>69</v>
      </c>
    </row>
    <row r="13" spans="1:10" ht="12.75">
      <c r="A13" s="64" t="s">
        <v>27</v>
      </c>
      <c r="B13" s="61">
        <f>$B$5</f>
        <v>0.28</v>
      </c>
      <c r="C13" s="61">
        <f aca="true" t="shared" si="1" ref="C13:H13">$B$5</f>
        <v>0.28</v>
      </c>
      <c r="D13" s="61">
        <f t="shared" si="1"/>
        <v>0.28</v>
      </c>
      <c r="E13" s="61">
        <f t="shared" si="1"/>
        <v>0.28</v>
      </c>
      <c r="F13" s="61">
        <f t="shared" si="1"/>
        <v>0.28</v>
      </c>
      <c r="G13" s="61">
        <f t="shared" si="1"/>
        <v>0.28</v>
      </c>
      <c r="H13" s="61">
        <f t="shared" si="1"/>
        <v>0.28</v>
      </c>
      <c r="J13" t="s">
        <v>65</v>
      </c>
    </row>
    <row r="14" spans="1:10" ht="12.75">
      <c r="A14" s="53" t="s">
        <v>25</v>
      </c>
      <c r="B14" s="55">
        <f>B12*B13</f>
        <v>268800</v>
      </c>
      <c r="C14" s="55">
        <f aca="true" t="shared" si="2" ref="C14:H14">C12*C13</f>
        <v>274176</v>
      </c>
      <c r="D14" s="55">
        <f t="shared" si="2"/>
        <v>279659.52</v>
      </c>
      <c r="E14" s="55">
        <f t="shared" si="2"/>
        <v>285252.71040000004</v>
      </c>
      <c r="F14" s="55">
        <f t="shared" si="2"/>
        <v>290957.76460800006</v>
      </c>
      <c r="G14" s="55">
        <f t="shared" si="2"/>
        <v>296776.91990016005</v>
      </c>
      <c r="H14" s="55">
        <f t="shared" si="2"/>
        <v>302712.45829816326</v>
      </c>
      <c r="J14" s="65" t="s">
        <v>66</v>
      </c>
    </row>
    <row r="15" spans="1:10" ht="12.75">
      <c r="A15" s="64" t="s">
        <v>29</v>
      </c>
      <c r="B15" s="56">
        <v>0.025</v>
      </c>
      <c r="C15" s="46">
        <v>0.045</v>
      </c>
      <c r="D15" s="56">
        <v>0.075</v>
      </c>
      <c r="E15" s="46">
        <v>0.15</v>
      </c>
      <c r="F15" s="56">
        <v>0.25</v>
      </c>
      <c r="G15" s="56">
        <v>0.3</v>
      </c>
      <c r="H15" s="46">
        <v>0.35</v>
      </c>
      <c r="J15" t="s">
        <v>67</v>
      </c>
    </row>
    <row r="16" spans="1:10" ht="12.75">
      <c r="A16" s="60" t="s">
        <v>24</v>
      </c>
      <c r="B16" s="62">
        <v>1.15</v>
      </c>
      <c r="C16" s="63">
        <v>1.12</v>
      </c>
      <c r="D16" s="62">
        <v>1.1</v>
      </c>
      <c r="E16" s="63">
        <v>1.08</v>
      </c>
      <c r="F16" s="62">
        <v>1.07</v>
      </c>
      <c r="G16" s="62">
        <v>1.06</v>
      </c>
      <c r="H16" s="63">
        <v>1.05</v>
      </c>
      <c r="J16" t="s">
        <v>67</v>
      </c>
    </row>
    <row r="17" spans="1:10" ht="12.75">
      <c r="A17" s="53" t="s">
        <v>28</v>
      </c>
      <c r="B17" s="55">
        <f>B14*B15*B16</f>
        <v>7727.999999999999</v>
      </c>
      <c r="C17" s="55">
        <f aca="true" t="shared" si="3" ref="C17:H17">C14*C15*C16</f>
        <v>13818.470400000002</v>
      </c>
      <c r="D17" s="55">
        <f t="shared" si="3"/>
        <v>23071.9104</v>
      </c>
      <c r="E17" s="55">
        <f t="shared" si="3"/>
        <v>46210.939084800004</v>
      </c>
      <c r="F17" s="55">
        <f t="shared" si="3"/>
        <v>77831.20203264002</v>
      </c>
      <c r="G17" s="55">
        <f t="shared" si="3"/>
        <v>94375.06052825089</v>
      </c>
      <c r="H17" s="55">
        <f t="shared" si="3"/>
        <v>111246.828424575</v>
      </c>
      <c r="J17" s="65" t="s">
        <v>68</v>
      </c>
    </row>
    <row r="18" spans="1:10" ht="13.5" thickBot="1">
      <c r="A18" s="54" t="s">
        <v>187</v>
      </c>
      <c r="B18" s="57">
        <f aca="true" t="shared" si="4" ref="B18:H18">B17*B21</f>
        <v>19319999.999999996</v>
      </c>
      <c r="C18" s="47">
        <f t="shared" si="4"/>
        <v>34373445.120000005</v>
      </c>
      <c r="D18" s="57">
        <f t="shared" si="4"/>
        <v>57104420.234400004</v>
      </c>
      <c r="E18" s="47">
        <f t="shared" si="4"/>
        <v>113803087.60647996</v>
      </c>
      <c r="F18" s="57">
        <f t="shared" si="4"/>
        <v>190715534.51333904</v>
      </c>
      <c r="G18" s="57">
        <f t="shared" si="4"/>
        <v>230097900.26494542</v>
      </c>
      <c r="H18" s="47">
        <f t="shared" si="4"/>
        <v>269877160.14070195</v>
      </c>
      <c r="J18" s="65" t="s">
        <v>72</v>
      </c>
    </row>
    <row r="19" spans="1:10" ht="13.5" thickTop="1">
      <c r="A19" s="64" t="s">
        <v>20</v>
      </c>
      <c r="B19" s="56">
        <v>0</v>
      </c>
      <c r="C19" s="46">
        <v>0</v>
      </c>
      <c r="D19" s="56">
        <v>0.001</v>
      </c>
      <c r="E19" s="46">
        <v>0.01</v>
      </c>
      <c r="F19" s="56">
        <v>0.05</v>
      </c>
      <c r="G19" s="56">
        <v>0.12</v>
      </c>
      <c r="H19" s="46">
        <v>0.2</v>
      </c>
      <c r="J19" t="s">
        <v>67</v>
      </c>
    </row>
    <row r="20" spans="1:10" ht="12.75">
      <c r="A20" s="53" t="s">
        <v>138</v>
      </c>
      <c r="B20" s="58">
        <f aca="true" t="shared" si="5" ref="B20:H20">B19*B17</f>
        <v>0</v>
      </c>
      <c r="C20" s="48">
        <f t="shared" si="5"/>
        <v>0</v>
      </c>
      <c r="D20" s="58">
        <f t="shared" si="5"/>
        <v>23.0719104</v>
      </c>
      <c r="E20" s="48">
        <f t="shared" si="5"/>
        <v>462.10939084800003</v>
      </c>
      <c r="F20" s="58">
        <f t="shared" si="5"/>
        <v>3891.5601016320015</v>
      </c>
      <c r="G20" s="58">
        <f t="shared" si="5"/>
        <v>11325.007263390107</v>
      </c>
      <c r="H20" s="48">
        <f t="shared" si="5"/>
        <v>22249.365684915</v>
      </c>
      <c r="J20" s="65" t="s">
        <v>71</v>
      </c>
    </row>
    <row r="21" spans="1:10" ht="12.75">
      <c r="A21" s="53" t="s">
        <v>160</v>
      </c>
      <c r="B21" s="55">
        <f>B6</f>
        <v>2500</v>
      </c>
      <c r="C21" s="45">
        <f aca="true" t="shared" si="6" ref="C21:H21">B21*(1-$B$7)</f>
        <v>2487.5</v>
      </c>
      <c r="D21" s="55">
        <f t="shared" si="6"/>
        <v>2475.0625</v>
      </c>
      <c r="E21" s="45">
        <f t="shared" si="6"/>
        <v>2462.6871875</v>
      </c>
      <c r="F21" s="55">
        <f t="shared" si="6"/>
        <v>2450.3737515625003</v>
      </c>
      <c r="G21" s="55">
        <f t="shared" si="6"/>
        <v>2438.1218828046876</v>
      </c>
      <c r="H21" s="45">
        <f t="shared" si="6"/>
        <v>2425.931273390664</v>
      </c>
      <c r="J21" s="65" t="s">
        <v>70</v>
      </c>
    </row>
    <row r="22" spans="1:8" ht="13.5" thickBot="1">
      <c r="A22" s="54" t="s">
        <v>161</v>
      </c>
      <c r="B22" s="57">
        <f>B21*B20</f>
        <v>0</v>
      </c>
      <c r="C22" s="47">
        <f aca="true" t="shared" si="7" ref="C22:H22">C21*C20</f>
        <v>0</v>
      </c>
      <c r="D22" s="57">
        <f t="shared" si="7"/>
        <v>57104.4202344</v>
      </c>
      <c r="E22" s="47">
        <f t="shared" si="7"/>
        <v>1138030.8760647995</v>
      </c>
      <c r="F22" s="57">
        <f t="shared" si="7"/>
        <v>9535776.725666953</v>
      </c>
      <c r="G22" s="57">
        <f t="shared" si="7"/>
        <v>27611748.031793453</v>
      </c>
      <c r="H22" s="47">
        <f t="shared" si="7"/>
        <v>53975432.02814039</v>
      </c>
    </row>
    <row r="23" ht="13.5" thickTop="1"/>
  </sheetData>
  <sheetProtection/>
  <mergeCells count="6">
    <mergeCell ref="C7:E7"/>
    <mergeCell ref="C2:E2"/>
    <mergeCell ref="C3:E3"/>
    <mergeCell ref="C4:E4"/>
    <mergeCell ref="C5:E5"/>
    <mergeCell ref="C6:E6"/>
  </mergeCells>
  <printOptions/>
  <pageMargins left="0.75" right="0.75" top="1" bottom="1" header="0.5" footer="0.5"/>
  <pageSetup fitToHeight="1" fitToWidth="1" horizontalDpi="1200" verticalDpi="1200" orientation="landscape" scale="88" r:id="rId1"/>
  <headerFooter alignWithMargins="0">
    <oddHeader>&amp;LFinancial Model Example&amp;RMarket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8" width="13.8515625" style="0" customWidth="1"/>
    <col min="9" max="9" width="1.57421875" style="0" customWidth="1"/>
  </cols>
  <sheetData>
    <row r="1" spans="1:4" ht="12.75">
      <c r="A1" s="41" t="s">
        <v>16</v>
      </c>
      <c r="B1" s="42"/>
      <c r="C1" s="42"/>
      <c r="D1" s="43"/>
    </row>
    <row r="2" spans="1:5" ht="12.75">
      <c r="A2" s="23" t="s">
        <v>23</v>
      </c>
      <c r="B2" s="37" t="s">
        <v>17</v>
      </c>
      <c r="C2" s="153" t="s">
        <v>18</v>
      </c>
      <c r="D2" s="153"/>
      <c r="E2" s="154"/>
    </row>
    <row r="3" spans="1:5" ht="12.75">
      <c r="A3" s="26" t="s">
        <v>26</v>
      </c>
      <c r="B3" s="30">
        <v>960000</v>
      </c>
      <c r="C3" s="155" t="s">
        <v>158</v>
      </c>
      <c r="D3" s="155"/>
      <c r="E3" s="156"/>
    </row>
    <row r="4" spans="1:5" ht="12.75">
      <c r="A4" s="26" t="s">
        <v>135</v>
      </c>
      <c r="B4" s="35">
        <v>0.02</v>
      </c>
      <c r="C4" s="155" t="s">
        <v>22</v>
      </c>
      <c r="D4" s="155"/>
      <c r="E4" s="156"/>
    </row>
    <row r="5" spans="1:5" ht="12.75">
      <c r="A5" s="26" t="s">
        <v>27</v>
      </c>
      <c r="B5" s="35">
        <v>0.28</v>
      </c>
      <c r="C5" s="155" t="s">
        <v>157</v>
      </c>
      <c r="D5" s="155"/>
      <c r="E5" s="156"/>
    </row>
    <row r="6" spans="1:5" ht="12.75">
      <c r="A6" s="26" t="s">
        <v>186</v>
      </c>
      <c r="B6" s="31">
        <v>2500</v>
      </c>
      <c r="C6" s="155" t="s">
        <v>19</v>
      </c>
      <c r="D6" s="155"/>
      <c r="E6" s="156"/>
    </row>
    <row r="7" spans="1:5" ht="12.75">
      <c r="A7" s="26" t="s">
        <v>226</v>
      </c>
      <c r="B7" s="147">
        <f>B3*B5/2500</f>
        <v>107.52</v>
      </c>
      <c r="C7" s="145"/>
      <c r="D7" s="145"/>
      <c r="E7" s="146"/>
    </row>
    <row r="8" spans="1:5" ht="12.75">
      <c r="A8" s="39" t="s">
        <v>188</v>
      </c>
      <c r="B8" s="40">
        <v>0.005</v>
      </c>
      <c r="C8" s="151" t="s">
        <v>159</v>
      </c>
      <c r="D8" s="151"/>
      <c r="E8" s="152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8" ht="15.75">
      <c r="A10" s="50" t="s">
        <v>21</v>
      </c>
      <c r="B10" s="51"/>
      <c r="C10" s="52"/>
      <c r="D10" s="51"/>
      <c r="E10" s="51"/>
      <c r="F10" s="51"/>
      <c r="G10" s="51"/>
      <c r="H10" s="52"/>
    </row>
    <row r="11" spans="1:8" s="24" customFormat="1" ht="12.75">
      <c r="A11" s="7" t="s">
        <v>15</v>
      </c>
      <c r="B11" s="5" t="s">
        <v>46</v>
      </c>
      <c r="C11" s="44" t="s">
        <v>47</v>
      </c>
      <c r="D11" s="5" t="s">
        <v>48</v>
      </c>
      <c r="E11" s="59" t="s">
        <v>49</v>
      </c>
      <c r="F11" s="5" t="s">
        <v>50</v>
      </c>
      <c r="G11" s="5" t="s">
        <v>51</v>
      </c>
      <c r="H11" s="44" t="s">
        <v>52</v>
      </c>
    </row>
    <row r="12" spans="1:8" ht="12.75">
      <c r="A12" s="53" t="s">
        <v>136</v>
      </c>
      <c r="B12" s="53"/>
      <c r="C12" s="25"/>
      <c r="D12" s="53" t="s">
        <v>2</v>
      </c>
      <c r="E12" s="25"/>
      <c r="F12" s="53"/>
      <c r="G12" s="53"/>
      <c r="H12" s="25"/>
    </row>
    <row r="13" spans="1:10" ht="12.75">
      <c r="A13" s="53" t="s">
        <v>224</v>
      </c>
      <c r="B13" s="55"/>
      <c r="C13" s="45"/>
      <c r="D13" s="55">
        <f>AVERAGE('Operating Plan'!J45:M45)</f>
        <v>1</v>
      </c>
      <c r="E13" s="45">
        <f>AVERAGE('Operating Plan'!N45:Q45)</f>
        <v>9</v>
      </c>
      <c r="F13" s="55">
        <f>AVERAGE('Operating Plan'!R45:U45)</f>
        <v>12</v>
      </c>
      <c r="G13" s="55">
        <f>'Operating Plan'!W45</f>
        <v>25</v>
      </c>
      <c r="H13" s="45">
        <f>'Operating Plan'!X45</f>
        <v>50</v>
      </c>
      <c r="J13" s="65"/>
    </row>
    <row r="14" spans="1:8" ht="12.75">
      <c r="A14" s="148" t="s">
        <v>225</v>
      </c>
      <c r="B14" s="61"/>
      <c r="C14" s="61"/>
      <c r="D14" s="149">
        <v>5</v>
      </c>
      <c r="E14" s="149">
        <v>10</v>
      </c>
      <c r="F14" s="149">
        <v>15</v>
      </c>
      <c r="G14" s="149">
        <v>20</v>
      </c>
      <c r="H14" s="149">
        <v>25</v>
      </c>
    </row>
    <row r="15" spans="1:10" ht="12.75">
      <c r="A15" s="53" t="s">
        <v>227</v>
      </c>
      <c r="B15" s="55"/>
      <c r="C15" s="55"/>
      <c r="D15" s="149">
        <v>6</v>
      </c>
      <c r="E15" s="149">
        <v>12</v>
      </c>
      <c r="F15" s="149">
        <v>24</v>
      </c>
      <c r="G15" s="149">
        <v>30</v>
      </c>
      <c r="H15" s="149">
        <v>35</v>
      </c>
      <c r="J15" s="65"/>
    </row>
    <row r="16" spans="1:8" ht="12.75">
      <c r="A16" s="53" t="s">
        <v>228</v>
      </c>
      <c r="B16" s="56"/>
      <c r="C16" s="46"/>
      <c r="D16" s="149">
        <f>D13*D14*D15</f>
        <v>30</v>
      </c>
      <c r="E16" s="149">
        <f>E13*E14*E15</f>
        <v>1080</v>
      </c>
      <c r="F16" s="149">
        <f>F13*F14*F15</f>
        <v>4320</v>
      </c>
      <c r="G16" s="149">
        <f>G13*G14*G15</f>
        <v>15000</v>
      </c>
      <c r="H16" s="149">
        <f>H13*H14*H15</f>
        <v>43750</v>
      </c>
    </row>
    <row r="17" spans="1:10" ht="12.75">
      <c r="A17" s="53" t="s">
        <v>160</v>
      </c>
      <c r="B17" s="55">
        <f>B6</f>
        <v>2500</v>
      </c>
      <c r="C17" s="45">
        <f aca="true" t="shared" si="0" ref="C17:H17">B17*(1-$B$8)</f>
        <v>2487.5</v>
      </c>
      <c r="D17" s="45">
        <f t="shared" si="0"/>
        <v>2475.0625</v>
      </c>
      <c r="E17" s="45">
        <f t="shared" si="0"/>
        <v>2462.6871875</v>
      </c>
      <c r="F17" s="45">
        <f t="shared" si="0"/>
        <v>2450.3737515625003</v>
      </c>
      <c r="G17" s="45">
        <f t="shared" si="0"/>
        <v>2438.1218828046876</v>
      </c>
      <c r="H17" s="45">
        <f t="shared" si="0"/>
        <v>2425.931273390664</v>
      </c>
      <c r="J17" s="65"/>
    </row>
    <row r="18" spans="1:10" ht="13.5" thickBot="1">
      <c r="A18" s="54" t="s">
        <v>161</v>
      </c>
      <c r="B18" s="57">
        <f aca="true" t="shared" si="1" ref="B18:H18">B16*B17</f>
        <v>0</v>
      </c>
      <c r="C18" s="57">
        <f t="shared" si="1"/>
        <v>0</v>
      </c>
      <c r="D18" s="57">
        <f t="shared" si="1"/>
        <v>74251.875</v>
      </c>
      <c r="E18" s="57">
        <f t="shared" si="1"/>
        <v>2659702.1625</v>
      </c>
      <c r="F18" s="57">
        <f t="shared" si="1"/>
        <v>10585614.60675</v>
      </c>
      <c r="G18" s="57">
        <f t="shared" si="1"/>
        <v>36571828.24207032</v>
      </c>
      <c r="H18" s="57">
        <f t="shared" si="1"/>
        <v>106134493.21084155</v>
      </c>
      <c r="J18" s="65"/>
    </row>
    <row r="19" spans="1:8" ht="13.5" thickTop="1">
      <c r="A19" s="53" t="s">
        <v>137</v>
      </c>
      <c r="B19" s="55">
        <f>$B$3</f>
        <v>960000</v>
      </c>
      <c r="C19" s="45">
        <f aca="true" t="shared" si="2" ref="C19:H19">B19*(1+$B$4)</f>
        <v>979200</v>
      </c>
      <c r="D19" s="55">
        <f t="shared" si="2"/>
        <v>998784</v>
      </c>
      <c r="E19" s="45">
        <f t="shared" si="2"/>
        <v>1018759.68</v>
      </c>
      <c r="F19" s="55">
        <f t="shared" si="2"/>
        <v>1039134.8736</v>
      </c>
      <c r="G19" s="55">
        <f t="shared" si="2"/>
        <v>1059917.571072</v>
      </c>
      <c r="H19" s="45">
        <f t="shared" si="2"/>
        <v>1081115.92249344</v>
      </c>
    </row>
    <row r="20" spans="1:10" ht="12.75">
      <c r="A20" s="64" t="s">
        <v>27</v>
      </c>
      <c r="B20" s="61">
        <f>$B$5</f>
        <v>0.28</v>
      </c>
      <c r="C20" s="61">
        <f aca="true" t="shared" si="3" ref="C20:H20">$B$5</f>
        <v>0.28</v>
      </c>
      <c r="D20" s="61">
        <f t="shared" si="3"/>
        <v>0.28</v>
      </c>
      <c r="E20" s="61">
        <f t="shared" si="3"/>
        <v>0.28</v>
      </c>
      <c r="F20" s="61">
        <f t="shared" si="3"/>
        <v>0.28</v>
      </c>
      <c r="G20" s="61">
        <f t="shared" si="3"/>
        <v>0.28</v>
      </c>
      <c r="H20" s="61">
        <f t="shared" si="3"/>
        <v>0.28</v>
      </c>
      <c r="J20" s="65"/>
    </row>
    <row r="21" spans="1:10" ht="12.75">
      <c r="A21" s="53" t="s">
        <v>25</v>
      </c>
      <c r="B21" s="55">
        <f>B19*B20</f>
        <v>268800</v>
      </c>
      <c r="C21" s="55">
        <f aca="true" t="shared" si="4" ref="C21:H21">C19*C20</f>
        <v>274176</v>
      </c>
      <c r="D21" s="55">
        <f t="shared" si="4"/>
        <v>279659.52</v>
      </c>
      <c r="E21" s="55">
        <f t="shared" si="4"/>
        <v>285252.71040000004</v>
      </c>
      <c r="F21" s="55">
        <f t="shared" si="4"/>
        <v>290957.76460800006</v>
      </c>
      <c r="G21" s="55">
        <f t="shared" si="4"/>
        <v>296776.91990016005</v>
      </c>
      <c r="H21" s="55">
        <f t="shared" si="4"/>
        <v>302712.45829816326</v>
      </c>
      <c r="J21" s="65"/>
    </row>
    <row r="22" spans="1:8" ht="12.75">
      <c r="A22" s="14" t="s">
        <v>229</v>
      </c>
      <c r="B22" s="150">
        <f aca="true" t="shared" si="5" ref="B22:H22">B16/B21</f>
        <v>0</v>
      </c>
      <c r="C22" s="150">
        <f t="shared" si="5"/>
        <v>0</v>
      </c>
      <c r="D22" s="150">
        <f t="shared" si="5"/>
        <v>0.00010727330147745372</v>
      </c>
      <c r="E22" s="150">
        <f t="shared" si="5"/>
        <v>0.0037861165227336606</v>
      </c>
      <c r="F22" s="150">
        <f t="shared" si="5"/>
        <v>0.014847515775426118</v>
      </c>
      <c r="G22" s="150">
        <f t="shared" si="5"/>
        <v>0.05054301394140155</v>
      </c>
      <c r="H22" s="150">
        <f t="shared" si="5"/>
        <v>0.1445265921527005</v>
      </c>
    </row>
  </sheetData>
  <sheetProtection/>
  <mergeCells count="6">
    <mergeCell ref="C6:E6"/>
    <mergeCell ref="C8:E8"/>
    <mergeCell ref="C2:E2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94">
      <selection activeCell="C130" sqref="C130:H130"/>
    </sheetView>
  </sheetViews>
  <sheetFormatPr defaultColWidth="9.140625" defaultRowHeight="12.75"/>
  <cols>
    <col min="1" max="1" width="48.57421875" style="0" bestFit="1" customWidth="1"/>
    <col min="2" max="2" width="11.00390625" style="0" customWidth="1"/>
    <col min="3" max="8" width="12.140625" style="0" customWidth="1"/>
    <col min="9" max="9" width="3.8515625" style="0" customWidth="1"/>
    <col min="10" max="10" width="12.140625" style="0" customWidth="1"/>
  </cols>
  <sheetData>
    <row r="1" spans="1:8" ht="18">
      <c r="A1" s="157" t="s">
        <v>53</v>
      </c>
      <c r="B1" s="157"/>
      <c r="C1" s="157"/>
      <c r="D1" s="157"/>
      <c r="E1" s="157"/>
      <c r="F1" s="157"/>
      <c r="G1" s="157"/>
      <c r="H1" s="157"/>
    </row>
    <row r="2" spans="1:8" ht="12.75">
      <c r="A2" s="17"/>
      <c r="B2" s="5" t="s">
        <v>46</v>
      </c>
      <c r="C2" s="5" t="s">
        <v>47</v>
      </c>
      <c r="D2" s="5" t="s">
        <v>48</v>
      </c>
      <c r="E2" s="5" t="s">
        <v>49</v>
      </c>
      <c r="F2" s="5" t="s">
        <v>50</v>
      </c>
      <c r="G2" s="5" t="s">
        <v>51</v>
      </c>
      <c r="H2" s="5" t="s">
        <v>52</v>
      </c>
    </row>
    <row r="3" spans="1:8" ht="12.75">
      <c r="A3" s="93" t="str">
        <f>'Operating Plan'!A34</f>
        <v>Manufacturing team</v>
      </c>
      <c r="B3" s="7"/>
      <c r="C3" s="7"/>
      <c r="D3" s="7"/>
      <c r="E3" s="7"/>
      <c r="F3" s="7"/>
      <c r="G3" s="7"/>
      <c r="H3" s="7"/>
    </row>
    <row r="4" spans="1:10" ht="12.75">
      <c r="A4" s="94" t="str">
        <f>'Operating Plan'!A35</f>
        <v>Engineers</v>
      </c>
      <c r="B4" s="73">
        <f>AVERAGE('Operating Plan'!B35:E35)</f>
        <v>0</v>
      </c>
      <c r="C4" s="73">
        <f>AVERAGE('Operating Plan'!F35:I35)</f>
        <v>0</v>
      </c>
      <c r="D4" s="73">
        <f>AVERAGE('Operating Plan'!J35:M35)</f>
        <v>2.5</v>
      </c>
      <c r="E4" s="73">
        <f>AVERAGE('Operating Plan'!N35:Q35)</f>
        <v>6</v>
      </c>
      <c r="F4" s="73">
        <f>AVERAGE('Operating Plan'!R35:U35)</f>
        <v>9</v>
      </c>
      <c r="G4" s="73">
        <f>'Operating Plan'!W35</f>
        <v>9</v>
      </c>
      <c r="H4" s="73">
        <f>'Operating Plan'!X35</f>
        <v>12</v>
      </c>
      <c r="J4" s="161" t="s">
        <v>73</v>
      </c>
    </row>
    <row r="5" spans="1:10" ht="12.75">
      <c r="A5" s="10" t="str">
        <f>'Operating Plan'!A36</f>
        <v>Manufacturing assemblers</v>
      </c>
      <c r="B5" s="73">
        <f>AVERAGE('Operating Plan'!B36:E36)</f>
        <v>0</v>
      </c>
      <c r="C5" s="73">
        <f>AVERAGE('Operating Plan'!F36:I36)</f>
        <v>0</v>
      </c>
      <c r="D5" s="73">
        <f>AVERAGE('Operating Plan'!J36:M36)</f>
        <v>2</v>
      </c>
      <c r="E5" s="73">
        <f>AVERAGE('Operating Plan'!N36:Q36)</f>
        <v>5</v>
      </c>
      <c r="F5" s="73">
        <f>AVERAGE('Operating Plan'!R36:U36)</f>
        <v>10</v>
      </c>
      <c r="G5" s="73">
        <f>'Operating Plan'!W36</f>
        <v>18</v>
      </c>
      <c r="H5" s="73">
        <f>'Operating Plan'!X36</f>
        <v>35</v>
      </c>
      <c r="J5" s="162"/>
    </row>
    <row r="6" spans="1:10" ht="12.75">
      <c r="A6" s="16" t="str">
        <f>'Operating Plan'!A37</f>
        <v>R&amp;D</v>
      </c>
      <c r="B6" s="7"/>
      <c r="C6" s="7"/>
      <c r="D6" s="7"/>
      <c r="E6" s="7"/>
      <c r="F6" s="7"/>
      <c r="G6" s="7"/>
      <c r="H6" s="7"/>
      <c r="J6" s="162"/>
    </row>
    <row r="7" spans="1:10" ht="12.75">
      <c r="A7" s="18" t="str">
        <f>'Operating Plan'!A38</f>
        <v>Catheter team</v>
      </c>
      <c r="B7" s="7"/>
      <c r="C7" s="7"/>
      <c r="D7" s="7"/>
      <c r="E7" s="7"/>
      <c r="F7" s="7"/>
      <c r="G7" s="7"/>
      <c r="H7" s="7"/>
      <c r="J7" s="162"/>
    </row>
    <row r="8" spans="1:10" ht="12.75">
      <c r="A8" s="19" t="str">
        <f>'Operating Plan'!A39</f>
        <v>Engineers</v>
      </c>
      <c r="B8" s="73">
        <f>AVERAGE('Operating Plan'!B39:E39)</f>
        <v>1</v>
      </c>
      <c r="C8" s="73">
        <f>AVERAGE('Operating Plan'!F39:I39)</f>
        <v>1</v>
      </c>
      <c r="D8" s="73">
        <f>AVERAGE('Operating Plan'!J39:M39)</f>
        <v>1.75</v>
      </c>
      <c r="E8" s="73">
        <f>AVERAGE('Operating Plan'!N39:Q39)</f>
        <v>2</v>
      </c>
      <c r="F8" s="73">
        <f>AVERAGE('Operating Plan'!R39:U39)</f>
        <v>2</v>
      </c>
      <c r="G8" s="73">
        <f>'Operating Plan'!W39</f>
        <v>3</v>
      </c>
      <c r="H8" s="73">
        <f>'Operating Plan'!X39</f>
        <v>5</v>
      </c>
      <c r="J8" s="162"/>
    </row>
    <row r="9" spans="1:10" ht="12.75">
      <c r="A9" s="19" t="str">
        <f>'Operating Plan'!A40</f>
        <v>Techs</v>
      </c>
      <c r="B9" s="73">
        <f>AVERAGE('Operating Plan'!B40:E40)</f>
        <v>1</v>
      </c>
      <c r="C9" s="73">
        <f>AVERAGE('Operating Plan'!F40:I40)</f>
        <v>2.5</v>
      </c>
      <c r="D9" s="73">
        <f>AVERAGE('Operating Plan'!J40:M40)</f>
        <v>4</v>
      </c>
      <c r="E9" s="73">
        <f>AVERAGE('Operating Plan'!N40:Q40)</f>
        <v>4</v>
      </c>
      <c r="F9" s="73">
        <f>AVERAGE('Operating Plan'!R40:U40)</f>
        <v>4</v>
      </c>
      <c r="G9" s="73">
        <f>'Operating Plan'!W40</f>
        <v>7</v>
      </c>
      <c r="H9" s="73">
        <f>'Operating Plan'!X40</f>
        <v>10</v>
      </c>
      <c r="J9" s="162"/>
    </row>
    <row r="10" spans="1:10" ht="12.75">
      <c r="A10" s="18" t="str">
        <f>'Operating Plan'!A41</f>
        <v>Generator team</v>
      </c>
      <c r="B10" s="7"/>
      <c r="C10" s="7"/>
      <c r="D10" s="7"/>
      <c r="E10" s="7"/>
      <c r="F10" s="7"/>
      <c r="G10" s="7"/>
      <c r="H10" s="7"/>
      <c r="J10" s="162"/>
    </row>
    <row r="11" spans="1:10" ht="12.75">
      <c r="A11" s="19" t="str">
        <f>'Operating Plan'!A42</f>
        <v>Engineers</v>
      </c>
      <c r="B11" s="73">
        <f>AVERAGE('Operating Plan'!B42:E42)</f>
        <v>1</v>
      </c>
      <c r="C11" s="73">
        <f>AVERAGE('Operating Plan'!F42:I42)</f>
        <v>1</v>
      </c>
      <c r="D11" s="73">
        <f>AVERAGE('Operating Plan'!J42:M42)</f>
        <v>1</v>
      </c>
      <c r="E11" s="73">
        <f>AVERAGE('Operating Plan'!N42:Q42)</f>
        <v>1</v>
      </c>
      <c r="F11" s="73">
        <f>AVERAGE('Operating Plan'!R42:U42)</f>
        <v>1</v>
      </c>
      <c r="G11" s="73">
        <f>'Operating Plan'!W42</f>
        <v>3</v>
      </c>
      <c r="H11" s="73">
        <f>'Operating Plan'!X42</f>
        <v>5</v>
      </c>
      <c r="J11" s="162"/>
    </row>
    <row r="12" spans="1:10" ht="12.75">
      <c r="A12" s="19" t="str">
        <f>'Operating Plan'!A43</f>
        <v>Techs</v>
      </c>
      <c r="B12" s="73">
        <f>AVERAGE('Operating Plan'!B43:E43)</f>
        <v>1</v>
      </c>
      <c r="C12" s="73">
        <f>AVERAGE('Operating Plan'!F43:I43)</f>
        <v>2.5</v>
      </c>
      <c r="D12" s="73">
        <f>AVERAGE('Operating Plan'!J43:M43)</f>
        <v>4</v>
      </c>
      <c r="E12" s="73">
        <f>AVERAGE('Operating Plan'!N43:Q43)</f>
        <v>4</v>
      </c>
      <c r="F12" s="73">
        <f>AVERAGE('Operating Plan'!R43:U43)</f>
        <v>4</v>
      </c>
      <c r="G12" s="73">
        <f>'Operating Plan'!W43</f>
        <v>7</v>
      </c>
      <c r="H12" s="73">
        <f>'Operating Plan'!X43</f>
        <v>10</v>
      </c>
      <c r="J12" s="162"/>
    </row>
    <row r="13" spans="1:10" ht="12.75">
      <c r="A13" s="16" t="str">
        <f>'Operating Plan'!A44</f>
        <v>SG&amp;A</v>
      </c>
      <c r="B13" s="7"/>
      <c r="C13" s="7"/>
      <c r="D13" s="7"/>
      <c r="E13" s="7"/>
      <c r="F13" s="7"/>
      <c r="G13" s="7"/>
      <c r="H13" s="7"/>
      <c r="J13" s="162"/>
    </row>
    <row r="14" spans="1:10" ht="12.75">
      <c r="A14" s="8" t="str">
        <f>'Operating Plan'!A45</f>
        <v>Salesforce</v>
      </c>
      <c r="B14" s="73">
        <f>AVERAGE('Operating Plan'!B45:E45)</f>
        <v>0</v>
      </c>
      <c r="C14" s="73">
        <f>AVERAGE('Operating Plan'!F45:I45)</f>
        <v>0</v>
      </c>
      <c r="D14" s="73">
        <f>AVERAGE('Operating Plan'!J45:M45)</f>
        <v>1</v>
      </c>
      <c r="E14" s="73">
        <f>AVERAGE('Operating Plan'!N45:Q45)</f>
        <v>9</v>
      </c>
      <c r="F14" s="73">
        <f>AVERAGE('Operating Plan'!R45:U45)</f>
        <v>12</v>
      </c>
      <c r="G14" s="73">
        <f>'Operating Plan'!W45</f>
        <v>25</v>
      </c>
      <c r="H14" s="73">
        <f>'Operating Plan'!X45</f>
        <v>50</v>
      </c>
      <c r="J14" s="162"/>
    </row>
    <row r="15" spans="1:10" ht="12.75">
      <c r="A15" s="8" t="str">
        <f>'Operating Plan'!A46</f>
        <v>Marketing, business development, and reimbursement</v>
      </c>
      <c r="B15" s="73">
        <f>AVERAGE('Operating Plan'!B46:E46)</f>
        <v>0</v>
      </c>
      <c r="C15" s="73">
        <f>AVERAGE('Operating Plan'!F46:I46)</f>
        <v>0.75</v>
      </c>
      <c r="D15" s="73">
        <f>AVERAGE('Operating Plan'!J46:M46)</f>
        <v>1.5</v>
      </c>
      <c r="E15" s="73">
        <f>AVERAGE('Operating Plan'!N46:Q46)</f>
        <v>3</v>
      </c>
      <c r="F15" s="73">
        <f>AVERAGE('Operating Plan'!R46:U46)</f>
        <v>3.75</v>
      </c>
      <c r="G15" s="73">
        <f>'Operating Plan'!W46</f>
        <v>5</v>
      </c>
      <c r="H15" s="73">
        <f>'Operating Plan'!X46</f>
        <v>5</v>
      </c>
      <c r="J15" s="162"/>
    </row>
    <row r="16" spans="1:10" ht="12.75">
      <c r="A16" s="8" t="str">
        <f>'Operating Plan'!A47</f>
        <v>Clinical advisor</v>
      </c>
      <c r="B16" s="73">
        <f>AVERAGE('Operating Plan'!B47:E47)</f>
        <v>1</v>
      </c>
      <c r="C16" s="73">
        <f>AVERAGE('Operating Plan'!F47:I47)</f>
        <v>1</v>
      </c>
      <c r="D16" s="73">
        <f>AVERAGE('Operating Plan'!J47:M47)</f>
        <v>1</v>
      </c>
      <c r="E16" s="73">
        <f>AVERAGE('Operating Plan'!N47:Q47)</f>
        <v>1</v>
      </c>
      <c r="F16" s="73">
        <f>AVERAGE('Operating Plan'!R47:U47)</f>
        <v>1.5</v>
      </c>
      <c r="G16" s="73">
        <f>'Operating Plan'!W47</f>
        <v>2</v>
      </c>
      <c r="H16" s="73">
        <f>'Operating Plan'!X47</f>
        <v>2</v>
      </c>
      <c r="J16" s="162"/>
    </row>
    <row r="17" spans="1:10" ht="12.75">
      <c r="A17" s="8" t="str">
        <f>'Operating Plan'!A48</f>
        <v>Regulatory</v>
      </c>
      <c r="B17" s="73">
        <f>AVERAGE('Operating Plan'!B48:E48)</f>
        <v>0.25</v>
      </c>
      <c r="C17" s="73">
        <f>AVERAGE('Operating Plan'!F48:I48)</f>
        <v>1</v>
      </c>
      <c r="D17" s="73">
        <f>AVERAGE('Operating Plan'!J48:M48)</f>
        <v>1</v>
      </c>
      <c r="E17" s="73">
        <f>AVERAGE('Operating Plan'!N48:Q48)</f>
        <v>3.5</v>
      </c>
      <c r="F17" s="73">
        <f>AVERAGE('Operating Plan'!R48:U48)</f>
        <v>4.75</v>
      </c>
      <c r="G17" s="73">
        <f>'Operating Plan'!W48</f>
        <v>5</v>
      </c>
      <c r="H17" s="73">
        <f>'Operating Plan'!X48</f>
        <v>5</v>
      </c>
      <c r="J17" s="162"/>
    </row>
    <row r="18" spans="1:10" ht="12.75">
      <c r="A18" s="8" t="str">
        <f>'Operating Plan'!A49</f>
        <v>Quality Systems</v>
      </c>
      <c r="B18" s="73">
        <f>AVERAGE('Operating Plan'!B49:E49)</f>
        <v>0.5</v>
      </c>
      <c r="C18" s="73">
        <f>AVERAGE('Operating Plan'!F49:I49)</f>
        <v>1</v>
      </c>
      <c r="D18" s="73">
        <f>AVERAGE('Operating Plan'!J49:M49)</f>
        <v>1</v>
      </c>
      <c r="E18" s="73">
        <f>AVERAGE('Operating Plan'!N49:Q49)</f>
        <v>3.5</v>
      </c>
      <c r="F18" s="73">
        <f>AVERAGE('Operating Plan'!R49:U49)</f>
        <v>4.25</v>
      </c>
      <c r="G18" s="73">
        <f>'Operating Plan'!W49</f>
        <v>5</v>
      </c>
      <c r="H18" s="73">
        <f>'Operating Plan'!X49</f>
        <v>5</v>
      </c>
      <c r="J18" s="162"/>
    </row>
    <row r="19" spans="1:10" ht="12.75">
      <c r="A19" s="8" t="str">
        <f>'Operating Plan'!A50</f>
        <v>Administrative asst.</v>
      </c>
      <c r="B19" s="73">
        <f>AVERAGE('Operating Plan'!B50:E50)</f>
        <v>0</v>
      </c>
      <c r="C19" s="73">
        <f>AVERAGE('Operating Plan'!F50:I50)</f>
        <v>0.75</v>
      </c>
      <c r="D19" s="73">
        <f>AVERAGE('Operating Plan'!J50:M50)</f>
        <v>1</v>
      </c>
      <c r="E19" s="73">
        <f>AVERAGE('Operating Plan'!N50:Q50)</f>
        <v>1.5</v>
      </c>
      <c r="F19" s="73">
        <f>AVERAGE('Operating Plan'!R50:U50)</f>
        <v>2.75</v>
      </c>
      <c r="G19" s="73">
        <f>'Operating Plan'!W50</f>
        <v>4</v>
      </c>
      <c r="H19" s="73">
        <f>'Operating Plan'!X50</f>
        <v>5</v>
      </c>
      <c r="J19" s="162"/>
    </row>
    <row r="20" spans="1:10" ht="12.75">
      <c r="A20" s="8" t="str">
        <f>'Operating Plan'!A51</f>
        <v>Management</v>
      </c>
      <c r="B20" s="73">
        <f>AVERAGE('Operating Plan'!B51:E51)</f>
        <v>1</v>
      </c>
      <c r="C20" s="73">
        <f>AVERAGE('Operating Plan'!F51:I51)</f>
        <v>2</v>
      </c>
      <c r="D20" s="73">
        <f>AVERAGE('Operating Plan'!J51:M51)</f>
        <v>2.5</v>
      </c>
      <c r="E20" s="73">
        <f>AVERAGE('Operating Plan'!N51:Q51)</f>
        <v>4.5</v>
      </c>
      <c r="F20" s="73">
        <f>AVERAGE('Operating Plan'!R51:U51)</f>
        <v>6</v>
      </c>
      <c r="G20" s="73">
        <f>'Operating Plan'!W51</f>
        <v>8</v>
      </c>
      <c r="H20" s="73">
        <f>'Operating Plan'!X51</f>
        <v>8</v>
      </c>
      <c r="J20" s="162"/>
    </row>
    <row r="22" spans="1:3" ht="12.75">
      <c r="A22" s="49" t="s">
        <v>139</v>
      </c>
      <c r="B22" s="78" t="s">
        <v>38</v>
      </c>
      <c r="C22" s="59" t="s">
        <v>171</v>
      </c>
    </row>
    <row r="23" spans="1:10" ht="12.75">
      <c r="A23" s="26" t="s">
        <v>43</v>
      </c>
      <c r="B23" s="30">
        <v>2</v>
      </c>
      <c r="C23" s="75">
        <v>130000</v>
      </c>
      <c r="J23" s="65" t="s">
        <v>74</v>
      </c>
    </row>
    <row r="24" spans="1:11" ht="12.75" customHeight="1">
      <c r="A24" s="26" t="s">
        <v>37</v>
      </c>
      <c r="B24" s="30">
        <v>2</v>
      </c>
      <c r="C24" s="75">
        <v>50000</v>
      </c>
      <c r="J24" s="159" t="s">
        <v>75</v>
      </c>
      <c r="K24" s="159"/>
    </row>
    <row r="25" spans="1:11" ht="12.75" customHeight="1">
      <c r="A25" s="26" t="s">
        <v>190</v>
      </c>
      <c r="B25" s="30">
        <v>2</v>
      </c>
      <c r="C25" s="75">
        <v>130000</v>
      </c>
      <c r="J25" s="159"/>
      <c r="K25" s="159"/>
    </row>
    <row r="26" spans="1:11" ht="12.75">
      <c r="A26" s="26" t="s">
        <v>193</v>
      </c>
      <c r="B26" s="30">
        <v>2</v>
      </c>
      <c r="C26" s="75">
        <v>110000</v>
      </c>
      <c r="J26" s="159"/>
      <c r="K26" s="159"/>
    </row>
    <row r="27" spans="1:11" ht="12.75">
      <c r="A27" s="26" t="s">
        <v>35</v>
      </c>
      <c r="B27" s="30">
        <v>2</v>
      </c>
      <c r="C27" s="75">
        <v>35000</v>
      </c>
      <c r="J27" s="159"/>
      <c r="K27" s="159"/>
    </row>
    <row r="28" spans="1:11" ht="12.75">
      <c r="A28" s="26" t="s">
        <v>36</v>
      </c>
      <c r="B28" s="34">
        <v>1.5</v>
      </c>
      <c r="C28" s="75">
        <v>35000</v>
      </c>
      <c r="J28" s="159"/>
      <c r="K28" s="159"/>
    </row>
    <row r="29" spans="1:11" ht="12.75">
      <c r="A29" s="26" t="s">
        <v>11</v>
      </c>
      <c r="B29" s="30">
        <v>2</v>
      </c>
      <c r="C29" s="75">
        <v>200000</v>
      </c>
      <c r="J29" s="159"/>
      <c r="K29" s="159"/>
    </row>
    <row r="30" spans="1:11" ht="12.75">
      <c r="A30" s="27" t="s">
        <v>34</v>
      </c>
      <c r="B30" s="76">
        <v>0.025</v>
      </c>
      <c r="C30" s="77"/>
      <c r="D30" s="33"/>
      <c r="E30" s="33"/>
      <c r="F30" s="33"/>
      <c r="G30" s="33"/>
      <c r="H30" s="33"/>
      <c r="I30" s="33"/>
      <c r="J30" s="159"/>
      <c r="K30" s="159"/>
    </row>
    <row r="31" spans="2:9" ht="12.75">
      <c r="B31" s="70"/>
      <c r="C31" s="69"/>
      <c r="D31" s="33"/>
      <c r="E31" s="33"/>
      <c r="F31" s="33"/>
      <c r="G31" s="33"/>
      <c r="H31" s="33"/>
      <c r="I31" s="33"/>
    </row>
    <row r="32" spans="1:9" ht="12.75">
      <c r="A32" s="6" t="s">
        <v>204</v>
      </c>
      <c r="B32" s="5" t="s">
        <v>46</v>
      </c>
      <c r="C32" s="5" t="s">
        <v>47</v>
      </c>
      <c r="D32" s="5" t="s">
        <v>48</v>
      </c>
      <c r="E32" s="5" t="s">
        <v>49</v>
      </c>
      <c r="F32" s="5" t="s">
        <v>50</v>
      </c>
      <c r="G32" s="5" t="s">
        <v>51</v>
      </c>
      <c r="H32" s="5" t="s">
        <v>52</v>
      </c>
      <c r="I32" s="33"/>
    </row>
    <row r="33" spans="1:10" ht="12.75">
      <c r="A33" t="s">
        <v>43</v>
      </c>
      <c r="B33" s="33">
        <f aca="true" t="shared" si="0" ref="B33:B39">C23*B23</f>
        <v>260000</v>
      </c>
      <c r="C33" s="33">
        <f aca="true" t="shared" si="1" ref="C33:H39">B33*(1+$B$30)</f>
        <v>266500</v>
      </c>
      <c r="D33" s="33">
        <f t="shared" si="1"/>
        <v>273162.5</v>
      </c>
      <c r="E33" s="33">
        <f t="shared" si="1"/>
        <v>279991.5625</v>
      </c>
      <c r="F33" s="33">
        <f t="shared" si="1"/>
        <v>286991.3515625</v>
      </c>
      <c r="G33" s="33">
        <f t="shared" si="1"/>
        <v>294166.13535156247</v>
      </c>
      <c r="H33" s="33">
        <f t="shared" si="1"/>
        <v>301520.2887353515</v>
      </c>
      <c r="I33" s="33"/>
      <c r="J33" s="159" t="s">
        <v>76</v>
      </c>
    </row>
    <row r="34" spans="1:10" ht="12.75">
      <c r="A34" t="s">
        <v>37</v>
      </c>
      <c r="B34" s="33">
        <f t="shared" si="0"/>
        <v>100000</v>
      </c>
      <c r="C34" s="33">
        <f t="shared" si="1"/>
        <v>102499.99999999999</v>
      </c>
      <c r="D34" s="33">
        <f t="shared" si="1"/>
        <v>105062.49999999997</v>
      </c>
      <c r="E34" s="33">
        <f t="shared" si="1"/>
        <v>107689.06249999996</v>
      </c>
      <c r="F34" s="33">
        <f t="shared" si="1"/>
        <v>110381.28906249994</v>
      </c>
      <c r="G34" s="33">
        <f t="shared" si="1"/>
        <v>113140.82128906243</v>
      </c>
      <c r="H34" s="33">
        <f t="shared" si="1"/>
        <v>115969.34182128898</v>
      </c>
      <c r="I34" s="33"/>
      <c r="J34" s="160"/>
    </row>
    <row r="35" spans="1:10" ht="12.75">
      <c r="A35" s="22" t="str">
        <f>A25</f>
        <v>Clinical, regulatory &amp; QA</v>
      </c>
      <c r="B35" s="33">
        <f t="shared" si="0"/>
        <v>260000</v>
      </c>
      <c r="C35" s="33">
        <f t="shared" si="1"/>
        <v>266500</v>
      </c>
      <c r="D35" s="33">
        <f t="shared" si="1"/>
        <v>273162.5</v>
      </c>
      <c r="E35" s="33">
        <f t="shared" si="1"/>
        <v>279991.5625</v>
      </c>
      <c r="F35" s="33">
        <f t="shared" si="1"/>
        <v>286991.3515625</v>
      </c>
      <c r="G35" s="33">
        <f t="shared" si="1"/>
        <v>294166.13535156247</v>
      </c>
      <c r="H35" s="33">
        <f t="shared" si="1"/>
        <v>301520.2887353515</v>
      </c>
      <c r="I35" s="33"/>
      <c r="J35" s="160"/>
    </row>
    <row r="36" spans="1:10" ht="12.75">
      <c r="A36" s="22" t="str">
        <f>A26</f>
        <v>Sales, marketing, bus. development</v>
      </c>
      <c r="B36" s="33">
        <f t="shared" si="0"/>
        <v>220000</v>
      </c>
      <c r="C36" s="33">
        <f t="shared" si="1"/>
        <v>225499.99999999997</v>
      </c>
      <c r="D36" s="33">
        <f t="shared" si="1"/>
        <v>231137.49999999994</v>
      </c>
      <c r="E36" s="33">
        <f t="shared" si="1"/>
        <v>236915.9374999999</v>
      </c>
      <c r="F36" s="33">
        <f t="shared" si="1"/>
        <v>242838.83593749988</v>
      </c>
      <c r="G36" s="33">
        <f t="shared" si="1"/>
        <v>248909.80683593737</v>
      </c>
      <c r="H36" s="33">
        <f t="shared" si="1"/>
        <v>255132.5520068358</v>
      </c>
      <c r="I36" s="33"/>
      <c r="J36" s="160"/>
    </row>
    <row r="37" spans="1:10" ht="12.75">
      <c r="A37" t="s">
        <v>35</v>
      </c>
      <c r="B37" s="33">
        <f t="shared" si="0"/>
        <v>70000</v>
      </c>
      <c r="C37" s="33">
        <f t="shared" si="1"/>
        <v>71750</v>
      </c>
      <c r="D37" s="33">
        <f t="shared" si="1"/>
        <v>73543.75</v>
      </c>
      <c r="E37" s="33">
        <f t="shared" si="1"/>
        <v>75382.34375</v>
      </c>
      <c r="F37" s="33">
        <f t="shared" si="1"/>
        <v>77266.90234375</v>
      </c>
      <c r="G37" s="33">
        <f t="shared" si="1"/>
        <v>79198.57490234374</v>
      </c>
      <c r="H37" s="33">
        <f t="shared" si="1"/>
        <v>81178.53927490233</v>
      </c>
      <c r="I37" s="33"/>
      <c r="J37" s="160"/>
    </row>
    <row r="38" spans="1:10" ht="12.75">
      <c r="A38" t="s">
        <v>36</v>
      </c>
      <c r="B38" s="33">
        <f t="shared" si="0"/>
        <v>52500</v>
      </c>
      <c r="C38" s="33">
        <f t="shared" si="1"/>
        <v>53812.49999999999</v>
      </c>
      <c r="D38" s="33">
        <f t="shared" si="1"/>
        <v>55157.812499999985</v>
      </c>
      <c r="E38" s="33">
        <f t="shared" si="1"/>
        <v>56536.75781249998</v>
      </c>
      <c r="F38" s="33">
        <f t="shared" si="1"/>
        <v>57950.17675781247</v>
      </c>
      <c r="G38" s="33">
        <f t="shared" si="1"/>
        <v>59398.931176757775</v>
      </c>
      <c r="H38" s="33">
        <f t="shared" si="1"/>
        <v>60883.904456176715</v>
      </c>
      <c r="I38" s="33"/>
      <c r="J38" s="160"/>
    </row>
    <row r="39" spans="1:10" ht="12.75">
      <c r="A39" t="s">
        <v>11</v>
      </c>
      <c r="B39" s="33">
        <f t="shared" si="0"/>
        <v>400000</v>
      </c>
      <c r="C39" s="33">
        <f t="shared" si="1"/>
        <v>409999.99999999994</v>
      </c>
      <c r="D39" s="33">
        <f t="shared" si="1"/>
        <v>420249.9999999999</v>
      </c>
      <c r="E39" s="33">
        <f t="shared" si="1"/>
        <v>430756.2499999998</v>
      </c>
      <c r="F39" s="33">
        <f t="shared" si="1"/>
        <v>441525.15624999977</v>
      </c>
      <c r="G39" s="33">
        <f t="shared" si="1"/>
        <v>452563.2851562497</v>
      </c>
      <c r="H39" s="33">
        <f t="shared" si="1"/>
        <v>463877.3672851559</v>
      </c>
      <c r="I39" s="33"/>
      <c r="J39" s="160"/>
    </row>
    <row r="40" spans="2:9" ht="12.75">
      <c r="B40" s="70"/>
      <c r="C40" s="69"/>
      <c r="D40" s="33"/>
      <c r="E40" s="33"/>
      <c r="F40" s="33"/>
      <c r="G40" s="33"/>
      <c r="H40" s="33"/>
      <c r="I40" s="33"/>
    </row>
    <row r="41" spans="1:8" ht="18">
      <c r="A41" s="158" t="s">
        <v>144</v>
      </c>
      <c r="B41" s="158"/>
      <c r="C41" s="158"/>
      <c r="D41" s="158"/>
      <c r="E41" s="158"/>
      <c r="F41" s="158"/>
      <c r="G41" s="158"/>
      <c r="H41" s="158"/>
    </row>
    <row r="42" spans="3:9" ht="12.75">
      <c r="C42" s="36"/>
      <c r="D42" s="36"/>
      <c r="E42" s="36"/>
      <c r="F42" s="36"/>
      <c r="G42" s="36"/>
      <c r="H42" s="36"/>
      <c r="I42" s="36"/>
    </row>
    <row r="43" spans="1:8" ht="12.75">
      <c r="A43" s="125" t="s">
        <v>39</v>
      </c>
      <c r="B43" s="126" t="s">
        <v>46</v>
      </c>
      <c r="C43" s="126" t="s">
        <v>47</v>
      </c>
      <c r="D43" s="126" t="s">
        <v>48</v>
      </c>
      <c r="E43" s="126" t="s">
        <v>49</v>
      </c>
      <c r="F43" s="126" t="s">
        <v>50</v>
      </c>
      <c r="G43" s="126" t="s">
        <v>51</v>
      </c>
      <c r="H43" s="126" t="s">
        <v>52</v>
      </c>
    </row>
    <row r="44" spans="1:10" ht="12.75">
      <c r="A44" s="7" t="s">
        <v>41</v>
      </c>
      <c r="B44" s="127">
        <f>B4</f>
        <v>0</v>
      </c>
      <c r="C44" s="127">
        <f aca="true" t="shared" si="2" ref="C44:H44">C4</f>
        <v>0</v>
      </c>
      <c r="D44" s="128">
        <f t="shared" si="2"/>
        <v>2.5</v>
      </c>
      <c r="E44" s="128">
        <f t="shared" si="2"/>
        <v>6</v>
      </c>
      <c r="F44" s="128">
        <f t="shared" si="2"/>
        <v>9</v>
      </c>
      <c r="G44" s="128">
        <f t="shared" si="2"/>
        <v>9</v>
      </c>
      <c r="H44" s="128">
        <f t="shared" si="2"/>
        <v>12</v>
      </c>
      <c r="J44" s="65" t="s">
        <v>78</v>
      </c>
    </row>
    <row r="45" spans="1:10" ht="12.75">
      <c r="A45" s="7" t="s">
        <v>162</v>
      </c>
      <c r="B45" s="127">
        <f aca="true" t="shared" si="3" ref="B45:H45">B33</f>
        <v>260000</v>
      </c>
      <c r="C45" s="127">
        <f t="shared" si="3"/>
        <v>266500</v>
      </c>
      <c r="D45" s="127">
        <f t="shared" si="3"/>
        <v>273162.5</v>
      </c>
      <c r="E45" s="127">
        <f t="shared" si="3"/>
        <v>279991.5625</v>
      </c>
      <c r="F45" s="127">
        <f t="shared" si="3"/>
        <v>286991.3515625</v>
      </c>
      <c r="G45" s="127">
        <f t="shared" si="3"/>
        <v>294166.13535156247</v>
      </c>
      <c r="H45" s="127">
        <f t="shared" si="3"/>
        <v>301520.2887353515</v>
      </c>
      <c r="J45" s="65" t="s">
        <v>79</v>
      </c>
    </row>
    <row r="46" spans="1:10" ht="12.75">
      <c r="A46" s="7" t="s">
        <v>42</v>
      </c>
      <c r="B46" s="127">
        <f>B5</f>
        <v>0</v>
      </c>
      <c r="C46" s="127">
        <f aca="true" t="shared" si="4" ref="C46:H46">C5</f>
        <v>0</v>
      </c>
      <c r="D46" s="128">
        <f t="shared" si="4"/>
        <v>2</v>
      </c>
      <c r="E46" s="128">
        <f t="shared" si="4"/>
        <v>5</v>
      </c>
      <c r="F46" s="128">
        <f t="shared" si="4"/>
        <v>10</v>
      </c>
      <c r="G46" s="128">
        <f t="shared" si="4"/>
        <v>18</v>
      </c>
      <c r="H46" s="128">
        <f t="shared" si="4"/>
        <v>35</v>
      </c>
      <c r="J46" s="65" t="s">
        <v>78</v>
      </c>
    </row>
    <row r="47" spans="1:10" ht="12.75">
      <c r="A47" s="7" t="s">
        <v>162</v>
      </c>
      <c r="B47" s="127">
        <f aca="true" t="shared" si="5" ref="B47:H47">B38</f>
        <v>52500</v>
      </c>
      <c r="C47" s="127">
        <f t="shared" si="5"/>
        <v>53812.49999999999</v>
      </c>
      <c r="D47" s="127">
        <f t="shared" si="5"/>
        <v>55157.812499999985</v>
      </c>
      <c r="E47" s="127">
        <f t="shared" si="5"/>
        <v>56536.75781249998</v>
      </c>
      <c r="F47" s="127">
        <f t="shared" si="5"/>
        <v>57950.17675781247</v>
      </c>
      <c r="G47" s="127">
        <f t="shared" si="5"/>
        <v>59398.931176757775</v>
      </c>
      <c r="H47" s="127">
        <f t="shared" si="5"/>
        <v>60883.904456176715</v>
      </c>
      <c r="J47" s="65" t="s">
        <v>79</v>
      </c>
    </row>
    <row r="48" spans="1:10" ht="12.75">
      <c r="A48" s="6" t="s">
        <v>163</v>
      </c>
      <c r="B48" s="129">
        <f>(B44*B45)+(B46*B47)</f>
        <v>0</v>
      </c>
      <c r="C48" s="129">
        <f aca="true" t="shared" si="6" ref="C48:H48">(C44*C45)+(C46*C47)</f>
        <v>0</v>
      </c>
      <c r="D48" s="129">
        <f t="shared" si="6"/>
        <v>793221.875</v>
      </c>
      <c r="E48" s="129">
        <f t="shared" si="6"/>
        <v>1962633.1640625</v>
      </c>
      <c r="F48" s="129">
        <f t="shared" si="6"/>
        <v>3162423.931640625</v>
      </c>
      <c r="G48" s="129">
        <f t="shared" si="6"/>
        <v>3716675.979345702</v>
      </c>
      <c r="H48" s="129">
        <f t="shared" si="6"/>
        <v>5749180.120790403</v>
      </c>
      <c r="J48" s="65" t="s">
        <v>80</v>
      </c>
    </row>
    <row r="49" spans="1:8" ht="12.75">
      <c r="A49" s="7"/>
      <c r="B49" s="127"/>
      <c r="C49" s="127"/>
      <c r="D49" s="127"/>
      <c r="E49" s="127"/>
      <c r="F49" s="127"/>
      <c r="G49" s="127"/>
      <c r="H49" s="127"/>
    </row>
    <row r="50" spans="1:8" ht="12.75">
      <c r="A50" s="125" t="s">
        <v>140</v>
      </c>
      <c r="B50" s="126" t="s">
        <v>46</v>
      </c>
      <c r="C50" s="126" t="s">
        <v>47</v>
      </c>
      <c r="D50" s="126" t="s">
        <v>48</v>
      </c>
      <c r="E50" s="126" t="s">
        <v>49</v>
      </c>
      <c r="F50" s="126" t="s">
        <v>50</v>
      </c>
      <c r="G50" s="126" t="s">
        <v>51</v>
      </c>
      <c r="H50" s="126" t="s">
        <v>52</v>
      </c>
    </row>
    <row r="51" spans="1:10" ht="12.75">
      <c r="A51" s="7" t="s">
        <v>164</v>
      </c>
      <c r="B51" s="130">
        <v>25</v>
      </c>
      <c r="C51" s="131">
        <f aca="true" t="shared" si="7" ref="C51:H51">B51*(1+C52)</f>
        <v>25.624999999999996</v>
      </c>
      <c r="D51" s="131">
        <f t="shared" si="7"/>
        <v>26.265624999999993</v>
      </c>
      <c r="E51" s="131">
        <f t="shared" si="7"/>
        <v>26.92226562499999</v>
      </c>
      <c r="F51" s="131">
        <f t="shared" si="7"/>
        <v>27.59532226562499</v>
      </c>
      <c r="G51" s="131">
        <f t="shared" si="7"/>
        <v>28.28520532226561</v>
      </c>
      <c r="H51" s="131">
        <f t="shared" si="7"/>
        <v>28.992335455322248</v>
      </c>
      <c r="J51" s="65" t="s">
        <v>81</v>
      </c>
    </row>
    <row r="52" spans="1:10" ht="12.75">
      <c r="A52" s="132" t="s">
        <v>44</v>
      </c>
      <c r="B52" s="133" t="s">
        <v>40</v>
      </c>
      <c r="C52" s="134">
        <v>0.025</v>
      </c>
      <c r="D52" s="134">
        <v>0.025</v>
      </c>
      <c r="E52" s="134">
        <v>0.025</v>
      </c>
      <c r="F52" s="134">
        <v>0.025</v>
      </c>
      <c r="G52" s="134">
        <v>0.025</v>
      </c>
      <c r="H52" s="134">
        <v>0.025</v>
      </c>
      <c r="J52" s="65" t="s">
        <v>82</v>
      </c>
    </row>
    <row r="53" spans="1:10" ht="12.75">
      <c r="A53" s="7" t="s">
        <v>151</v>
      </c>
      <c r="B53" s="135">
        <v>250</v>
      </c>
      <c r="C53" s="135">
        <v>250</v>
      </c>
      <c r="D53" s="135">
        <v>250</v>
      </c>
      <c r="E53" s="135">
        <v>240</v>
      </c>
      <c r="F53" s="135">
        <v>230</v>
      </c>
      <c r="G53" s="135">
        <v>220</v>
      </c>
      <c r="H53" s="135">
        <v>210</v>
      </c>
      <c r="J53" t="s">
        <v>114</v>
      </c>
    </row>
    <row r="54" spans="1:10" ht="12.75">
      <c r="A54" s="86" t="s">
        <v>45</v>
      </c>
      <c r="B54" s="127">
        <f aca="true" t="shared" si="8" ref="B54:H54">B4+B5</f>
        <v>0</v>
      </c>
      <c r="C54" s="127">
        <f t="shared" si="8"/>
        <v>0</v>
      </c>
      <c r="D54" s="128">
        <f t="shared" si="8"/>
        <v>4.5</v>
      </c>
      <c r="E54" s="128">
        <f t="shared" si="8"/>
        <v>11</v>
      </c>
      <c r="F54" s="128">
        <f t="shared" si="8"/>
        <v>19</v>
      </c>
      <c r="G54" s="128">
        <f t="shared" si="8"/>
        <v>27</v>
      </c>
      <c r="H54" s="128">
        <f t="shared" si="8"/>
        <v>47</v>
      </c>
      <c r="J54" s="65" t="s">
        <v>78</v>
      </c>
    </row>
    <row r="55" spans="1:10" ht="12.75">
      <c r="A55" s="86" t="s">
        <v>142</v>
      </c>
      <c r="B55" s="127">
        <f>B53*B54</f>
        <v>0</v>
      </c>
      <c r="C55" s="127">
        <f aca="true" t="shared" si="9" ref="C55:H55">C53*C54</f>
        <v>0</v>
      </c>
      <c r="D55" s="127">
        <f t="shared" si="9"/>
        <v>1125</v>
      </c>
      <c r="E55" s="127">
        <f t="shared" si="9"/>
        <v>2640</v>
      </c>
      <c r="F55" s="127">
        <f t="shared" si="9"/>
        <v>4370</v>
      </c>
      <c r="G55" s="127">
        <f t="shared" si="9"/>
        <v>5940</v>
      </c>
      <c r="H55" s="127">
        <f t="shared" si="9"/>
        <v>9870</v>
      </c>
      <c r="J55" t="s">
        <v>114</v>
      </c>
    </row>
    <row r="56" spans="1:10" ht="12.75">
      <c r="A56" s="86" t="s">
        <v>141</v>
      </c>
      <c r="B56" s="135">
        <v>0</v>
      </c>
      <c r="C56" s="135">
        <v>0</v>
      </c>
      <c r="D56" s="135">
        <v>3000</v>
      </c>
      <c r="E56" s="135">
        <v>3000</v>
      </c>
      <c r="F56" s="135">
        <v>15000</v>
      </c>
      <c r="G56" s="135">
        <v>15000</v>
      </c>
      <c r="H56" s="135">
        <v>15000</v>
      </c>
      <c r="J56" s="65" t="s">
        <v>83</v>
      </c>
    </row>
    <row r="57" spans="1:10" ht="12.75">
      <c r="A57" s="132" t="s">
        <v>165</v>
      </c>
      <c r="B57" s="129">
        <f aca="true" t="shared" si="10" ref="B57:H57">B51*B56</f>
        <v>0</v>
      </c>
      <c r="C57" s="129">
        <f t="shared" si="10"/>
        <v>0</v>
      </c>
      <c r="D57" s="129">
        <f t="shared" si="10"/>
        <v>78796.87499999999</v>
      </c>
      <c r="E57" s="129">
        <f t="shared" si="10"/>
        <v>80766.79687499997</v>
      </c>
      <c r="F57" s="129">
        <f t="shared" si="10"/>
        <v>413929.8339843748</v>
      </c>
      <c r="G57" s="129">
        <f t="shared" si="10"/>
        <v>424278.07983398414</v>
      </c>
      <c r="H57" s="129">
        <f t="shared" si="10"/>
        <v>434885.0318298337</v>
      </c>
      <c r="J57" s="65" t="s">
        <v>87</v>
      </c>
    </row>
    <row r="58" spans="1:8" ht="12.75">
      <c r="A58" s="7"/>
      <c r="B58" s="127"/>
      <c r="C58" s="127"/>
      <c r="D58" s="127"/>
      <c r="E58" s="127"/>
      <c r="F58" s="127"/>
      <c r="G58" s="127"/>
      <c r="H58" s="127"/>
    </row>
    <row r="59" spans="1:8" ht="12.75">
      <c r="A59" s="125" t="s">
        <v>145</v>
      </c>
      <c r="B59" s="126" t="s">
        <v>46</v>
      </c>
      <c r="C59" s="126" t="s">
        <v>47</v>
      </c>
      <c r="D59" s="126" t="s">
        <v>48</v>
      </c>
      <c r="E59" s="126" t="s">
        <v>49</v>
      </c>
      <c r="F59" s="126" t="s">
        <v>50</v>
      </c>
      <c r="G59" s="126" t="s">
        <v>51</v>
      </c>
      <c r="H59" s="126" t="s">
        <v>52</v>
      </c>
    </row>
    <row r="60" spans="1:10" ht="12.75">
      <c r="A60" s="7" t="s">
        <v>143</v>
      </c>
      <c r="B60" s="127">
        <f>'Market Model_top down'!B20</f>
        <v>0</v>
      </c>
      <c r="C60" s="127">
        <f>'Market Model_top down'!C20</f>
        <v>0</v>
      </c>
      <c r="D60" s="127">
        <f>'Market Model_top down'!D20</f>
        <v>23.0719104</v>
      </c>
      <c r="E60" s="127">
        <f>'Market Model_top down'!E20</f>
        <v>462.10939084800003</v>
      </c>
      <c r="F60" s="127">
        <f>'Market Model_top down'!F20</f>
        <v>3891.5601016320015</v>
      </c>
      <c r="G60" s="127">
        <f>'Market Model_top down'!G20</f>
        <v>11325.007263390107</v>
      </c>
      <c r="H60" s="127">
        <f>'Market Model_top down'!H20</f>
        <v>22249.365684915</v>
      </c>
      <c r="J60" s="65" t="s">
        <v>84</v>
      </c>
    </row>
    <row r="61" spans="1:10" ht="12.75">
      <c r="A61" s="7" t="s">
        <v>166</v>
      </c>
      <c r="B61" s="127">
        <v>0</v>
      </c>
      <c r="C61" s="127">
        <v>0</v>
      </c>
      <c r="D61" s="135">
        <v>600</v>
      </c>
      <c r="E61" s="127">
        <f>D61*(1-E62)</f>
        <v>540</v>
      </c>
      <c r="F61" s="127">
        <f>E61*(1-F62)</f>
        <v>486</v>
      </c>
      <c r="G61" s="127">
        <f>F61*(1-G62)</f>
        <v>437.40000000000003</v>
      </c>
      <c r="H61" s="127">
        <f>G61*(1-H62)</f>
        <v>393.66</v>
      </c>
      <c r="J61" s="65" t="s">
        <v>85</v>
      </c>
    </row>
    <row r="62" spans="1:10" ht="12.75">
      <c r="A62" s="7" t="s">
        <v>33</v>
      </c>
      <c r="B62" s="136" t="s">
        <v>40</v>
      </c>
      <c r="C62" s="136" t="s">
        <v>40</v>
      </c>
      <c r="D62" s="136" t="s">
        <v>40</v>
      </c>
      <c r="E62" s="137">
        <v>0.1</v>
      </c>
      <c r="F62" s="137">
        <v>0.1</v>
      </c>
      <c r="G62" s="137">
        <v>0.1</v>
      </c>
      <c r="H62" s="137">
        <v>0.1</v>
      </c>
      <c r="J62" s="65" t="s">
        <v>86</v>
      </c>
    </row>
    <row r="63" spans="1:10" ht="12.75">
      <c r="A63" s="6" t="s">
        <v>218</v>
      </c>
      <c r="B63" s="129">
        <f aca="true" t="shared" si="11" ref="B63:H63">B60*B61</f>
        <v>0</v>
      </c>
      <c r="C63" s="129">
        <f t="shared" si="11"/>
        <v>0</v>
      </c>
      <c r="D63" s="129">
        <f t="shared" si="11"/>
        <v>13843.14624</v>
      </c>
      <c r="E63" s="129">
        <f t="shared" si="11"/>
        <v>249539.07105792002</v>
      </c>
      <c r="F63" s="129">
        <f t="shared" si="11"/>
        <v>1891298.2093931527</v>
      </c>
      <c r="G63" s="129">
        <f t="shared" si="11"/>
        <v>4953558.177006833</v>
      </c>
      <c r="H63" s="129">
        <f t="shared" si="11"/>
        <v>8758685.29552364</v>
      </c>
      <c r="J63" s="65" t="s">
        <v>88</v>
      </c>
    </row>
    <row r="64" spans="1:9" ht="12.75">
      <c r="A64" s="7"/>
      <c r="B64" s="7"/>
      <c r="C64" s="127"/>
      <c r="D64" s="127"/>
      <c r="E64" s="127"/>
      <c r="F64" s="127"/>
      <c r="G64" s="127"/>
      <c r="H64" s="127"/>
      <c r="I64" s="36"/>
    </row>
    <row r="65" spans="1:9" ht="12.75">
      <c r="A65" s="125" t="s">
        <v>219</v>
      </c>
      <c r="B65" s="126" t="s">
        <v>46</v>
      </c>
      <c r="C65" s="126" t="s">
        <v>47</v>
      </c>
      <c r="D65" s="126" t="s">
        <v>48</v>
      </c>
      <c r="E65" s="126" t="s">
        <v>49</v>
      </c>
      <c r="F65" s="126" t="s">
        <v>50</v>
      </c>
      <c r="G65" s="126" t="s">
        <v>51</v>
      </c>
      <c r="H65" s="126" t="s">
        <v>52</v>
      </c>
      <c r="I65" s="36"/>
    </row>
    <row r="66" spans="1:10" ht="12.75">
      <c r="A66" s="7" t="str">
        <f>A48</f>
        <v>Manufacturing labor cost ($)</v>
      </c>
      <c r="B66" s="138">
        <f>B48</f>
        <v>0</v>
      </c>
      <c r="C66" s="138">
        <f aca="true" t="shared" si="12" ref="C66:H66">C48</f>
        <v>0</v>
      </c>
      <c r="D66" s="138">
        <f t="shared" si="12"/>
        <v>793221.875</v>
      </c>
      <c r="E66" s="138">
        <f t="shared" si="12"/>
        <v>1962633.1640625</v>
      </c>
      <c r="F66" s="138">
        <f t="shared" si="12"/>
        <v>3162423.931640625</v>
      </c>
      <c r="G66" s="138">
        <f t="shared" si="12"/>
        <v>3716675.979345702</v>
      </c>
      <c r="H66" s="138">
        <f t="shared" si="12"/>
        <v>5749180.120790403</v>
      </c>
      <c r="J66" s="65" t="s">
        <v>77</v>
      </c>
    </row>
    <row r="67" spans="1:10" ht="12.75">
      <c r="A67" s="7" t="str">
        <f>A57</f>
        <v>Manufacturing facilities cost ($)</v>
      </c>
      <c r="B67" s="138">
        <f>B57</f>
        <v>0</v>
      </c>
      <c r="C67" s="138">
        <f aca="true" t="shared" si="13" ref="C67:H67">C57</f>
        <v>0</v>
      </c>
      <c r="D67" s="138">
        <f t="shared" si="13"/>
        <v>78796.87499999999</v>
      </c>
      <c r="E67" s="138">
        <f t="shared" si="13"/>
        <v>80766.79687499997</v>
      </c>
      <c r="F67" s="138">
        <f t="shared" si="13"/>
        <v>413929.8339843748</v>
      </c>
      <c r="G67" s="138">
        <f t="shared" si="13"/>
        <v>424278.07983398414</v>
      </c>
      <c r="H67" s="138">
        <f t="shared" si="13"/>
        <v>434885.0318298337</v>
      </c>
      <c r="J67" s="65" t="s">
        <v>77</v>
      </c>
    </row>
    <row r="68" spans="1:10" ht="12.75">
      <c r="A68" s="7" t="s">
        <v>220</v>
      </c>
      <c r="B68" s="138">
        <f>B63</f>
        <v>0</v>
      </c>
      <c r="C68" s="138">
        <f aca="true" t="shared" si="14" ref="C68:H68">C63</f>
        <v>0</v>
      </c>
      <c r="D68" s="138">
        <f t="shared" si="14"/>
        <v>13843.14624</v>
      </c>
      <c r="E68" s="138">
        <f t="shared" si="14"/>
        <v>249539.07105792002</v>
      </c>
      <c r="F68" s="138">
        <f t="shared" si="14"/>
        <v>1891298.2093931527</v>
      </c>
      <c r="G68" s="138">
        <f t="shared" si="14"/>
        <v>4953558.177006833</v>
      </c>
      <c r="H68" s="138">
        <f t="shared" si="14"/>
        <v>8758685.29552364</v>
      </c>
      <c r="J68" s="65" t="s">
        <v>77</v>
      </c>
    </row>
    <row r="69" spans="1:10" ht="12.75">
      <c r="A69" s="6" t="s">
        <v>221</v>
      </c>
      <c r="B69" s="139">
        <f>SUM(B66:B68)</f>
        <v>0</v>
      </c>
      <c r="C69" s="139">
        <f aca="true" t="shared" si="15" ref="C69:H69">SUM(C66:C68)</f>
        <v>0</v>
      </c>
      <c r="D69" s="139">
        <f t="shared" si="15"/>
        <v>885861.89624</v>
      </c>
      <c r="E69" s="139">
        <f t="shared" si="15"/>
        <v>2292939.03199542</v>
      </c>
      <c r="F69" s="139">
        <f t="shared" si="15"/>
        <v>5467651.975018153</v>
      </c>
      <c r="G69" s="139">
        <f t="shared" si="15"/>
        <v>9094512.23618652</v>
      </c>
      <c r="H69" s="139">
        <f t="shared" si="15"/>
        <v>14942750.448143877</v>
      </c>
      <c r="J69" s="65" t="s">
        <v>89</v>
      </c>
    </row>
    <row r="70" spans="1:8" ht="12.75">
      <c r="A70" s="7"/>
      <c r="B70" s="7"/>
      <c r="C70" s="127"/>
      <c r="D70" s="127"/>
      <c r="E70" s="127"/>
      <c r="F70" s="127"/>
      <c r="G70" s="127"/>
      <c r="H70" s="127"/>
    </row>
    <row r="72" spans="1:8" ht="18">
      <c r="A72" s="158" t="s">
        <v>55</v>
      </c>
      <c r="B72" s="158"/>
      <c r="C72" s="158"/>
      <c r="D72" s="158"/>
      <c r="E72" s="158"/>
      <c r="F72" s="158"/>
      <c r="G72" s="158"/>
      <c r="H72" s="158"/>
    </row>
    <row r="74" spans="1:8" ht="12.75">
      <c r="A74" s="6" t="s">
        <v>13</v>
      </c>
      <c r="B74" s="5" t="s">
        <v>46</v>
      </c>
      <c r="C74" s="5" t="s">
        <v>47</v>
      </c>
      <c r="D74" s="5" t="s">
        <v>48</v>
      </c>
      <c r="E74" s="5" t="s">
        <v>49</v>
      </c>
      <c r="F74" s="5" t="s">
        <v>50</v>
      </c>
      <c r="G74" s="5" t="s">
        <v>51</v>
      </c>
      <c r="H74" s="5" t="s">
        <v>52</v>
      </c>
    </row>
    <row r="75" spans="1:8" ht="12.75">
      <c r="A75" s="6" t="s">
        <v>194</v>
      </c>
      <c r="B75" s="5"/>
      <c r="C75" s="5"/>
      <c r="D75" s="5"/>
      <c r="E75" s="5"/>
      <c r="F75" s="5"/>
      <c r="G75" s="5"/>
      <c r="H75" s="5"/>
    </row>
    <row r="76" spans="1:10" ht="12.75">
      <c r="A76" s="10" t="s">
        <v>41</v>
      </c>
      <c r="B76" s="140">
        <f>B8+B11</f>
        <v>2</v>
      </c>
      <c r="C76" s="140">
        <f aca="true" t="shared" si="16" ref="C76:H76">C8+C11</f>
        <v>2</v>
      </c>
      <c r="D76" s="140">
        <f t="shared" si="16"/>
        <v>2.75</v>
      </c>
      <c r="E76" s="140">
        <f t="shared" si="16"/>
        <v>3</v>
      </c>
      <c r="F76" s="140">
        <f t="shared" si="16"/>
        <v>3</v>
      </c>
      <c r="G76" s="140">
        <f t="shared" si="16"/>
        <v>6</v>
      </c>
      <c r="H76" s="140">
        <f t="shared" si="16"/>
        <v>10</v>
      </c>
      <c r="J76" s="65" t="s">
        <v>78</v>
      </c>
    </row>
    <row r="77" spans="1:10" ht="12.75">
      <c r="A77" s="10" t="s">
        <v>162</v>
      </c>
      <c r="B77" s="141">
        <f>B33</f>
        <v>260000</v>
      </c>
      <c r="C77" s="141">
        <f aca="true" t="shared" si="17" ref="C77:H77">C33</f>
        <v>266500</v>
      </c>
      <c r="D77" s="141">
        <f t="shared" si="17"/>
        <v>273162.5</v>
      </c>
      <c r="E77" s="141">
        <f t="shared" si="17"/>
        <v>279991.5625</v>
      </c>
      <c r="F77" s="141">
        <f t="shared" si="17"/>
        <v>286991.3515625</v>
      </c>
      <c r="G77" s="141">
        <f t="shared" si="17"/>
        <v>294166.13535156247</v>
      </c>
      <c r="H77" s="141">
        <f t="shared" si="17"/>
        <v>301520.2887353515</v>
      </c>
      <c r="J77" s="65" t="s">
        <v>79</v>
      </c>
    </row>
    <row r="78" spans="1:10" ht="12.75">
      <c r="A78" s="10" t="s">
        <v>147</v>
      </c>
      <c r="B78" s="140">
        <f>B9+B12</f>
        <v>2</v>
      </c>
      <c r="C78" s="140">
        <f aca="true" t="shared" si="18" ref="C78:H78">C9+C12</f>
        <v>5</v>
      </c>
      <c r="D78" s="140">
        <f t="shared" si="18"/>
        <v>8</v>
      </c>
      <c r="E78" s="140">
        <f t="shared" si="18"/>
        <v>8</v>
      </c>
      <c r="F78" s="140">
        <f t="shared" si="18"/>
        <v>8</v>
      </c>
      <c r="G78" s="140">
        <f t="shared" si="18"/>
        <v>14</v>
      </c>
      <c r="H78" s="140">
        <f t="shared" si="18"/>
        <v>20</v>
      </c>
      <c r="J78" s="65" t="s">
        <v>78</v>
      </c>
    </row>
    <row r="79" spans="1:10" ht="12.75">
      <c r="A79" s="10" t="s">
        <v>162</v>
      </c>
      <c r="B79" s="141">
        <f>B34</f>
        <v>100000</v>
      </c>
      <c r="C79" s="141">
        <f aca="true" t="shared" si="19" ref="C79:H79">C34</f>
        <v>102499.99999999999</v>
      </c>
      <c r="D79" s="141">
        <f t="shared" si="19"/>
        <v>105062.49999999997</v>
      </c>
      <c r="E79" s="141">
        <f t="shared" si="19"/>
        <v>107689.06249999996</v>
      </c>
      <c r="F79" s="141">
        <f t="shared" si="19"/>
        <v>110381.28906249994</v>
      </c>
      <c r="G79" s="141">
        <f t="shared" si="19"/>
        <v>113140.82128906243</v>
      </c>
      <c r="H79" s="141">
        <f t="shared" si="19"/>
        <v>115969.34182128898</v>
      </c>
      <c r="J79" s="65" t="s">
        <v>79</v>
      </c>
    </row>
    <row r="80" spans="1:10" ht="12.75">
      <c r="A80" s="10" t="s">
        <v>194</v>
      </c>
      <c r="B80" s="141">
        <f>(B76*B77)+(B78*B79)</f>
        <v>720000</v>
      </c>
      <c r="C80" s="141">
        <f aca="true" t="shared" si="20" ref="C80:H80">C76*C77+C78*C79</f>
        <v>1045500</v>
      </c>
      <c r="D80" s="141">
        <f t="shared" si="20"/>
        <v>1591696.8749999998</v>
      </c>
      <c r="E80" s="141">
        <f t="shared" si="20"/>
        <v>1701487.1874999995</v>
      </c>
      <c r="F80" s="141">
        <f t="shared" si="20"/>
        <v>1744024.3671874995</v>
      </c>
      <c r="G80" s="141">
        <f t="shared" si="20"/>
        <v>3348968.310156249</v>
      </c>
      <c r="H80" s="141">
        <f t="shared" si="20"/>
        <v>5334589.723779295</v>
      </c>
      <c r="J80" s="65"/>
    </row>
    <row r="81" spans="1:10" ht="12.75">
      <c r="A81" s="16" t="s">
        <v>250</v>
      </c>
      <c r="B81" s="141"/>
      <c r="C81" s="141"/>
      <c r="D81" s="141"/>
      <c r="E81" s="141"/>
      <c r="F81" s="141"/>
      <c r="G81" s="141"/>
      <c r="H81" s="141"/>
      <c r="J81" s="65"/>
    </row>
    <row r="82" spans="1:10" ht="12.75">
      <c r="A82" s="8" t="s">
        <v>251</v>
      </c>
      <c r="B82" s="141"/>
      <c r="C82" s="141"/>
      <c r="D82" s="135">
        <v>50000</v>
      </c>
      <c r="E82" s="141"/>
      <c r="F82" s="141"/>
      <c r="G82" s="141"/>
      <c r="H82" s="141"/>
      <c r="J82" s="65"/>
    </row>
    <row r="83" spans="1:10" ht="12.75">
      <c r="A83" s="164" t="s">
        <v>249</v>
      </c>
      <c r="B83" s="142">
        <f>SUM(B81:B82)</f>
        <v>0</v>
      </c>
      <c r="C83" s="142">
        <f>SUM(C81:C82)</f>
        <v>0</v>
      </c>
      <c r="D83" s="142">
        <f>SUM(D81:D82)</f>
        <v>50000</v>
      </c>
      <c r="E83" s="142">
        <f>SUM(E81:E82)</f>
        <v>0</v>
      </c>
      <c r="F83" s="142">
        <f>SUM(F81:F82)</f>
        <v>0</v>
      </c>
      <c r="G83" s="142">
        <f>SUM(G81:G82)</f>
        <v>0</v>
      </c>
      <c r="H83" s="142">
        <f>SUM(H81:H82)</f>
        <v>0</v>
      </c>
      <c r="J83" s="65"/>
    </row>
    <row r="84" spans="1:8" ht="12.75">
      <c r="A84" s="6" t="s">
        <v>230</v>
      </c>
      <c r="B84" s="163" t="s">
        <v>46</v>
      </c>
      <c r="C84" s="163" t="s">
        <v>47</v>
      </c>
      <c r="D84" s="163" t="s">
        <v>48</v>
      </c>
      <c r="E84" s="163" t="s">
        <v>49</v>
      </c>
      <c r="F84" s="163" t="s">
        <v>50</v>
      </c>
      <c r="G84" s="163" t="s">
        <v>51</v>
      </c>
      <c r="H84" s="163" t="s">
        <v>52</v>
      </c>
    </row>
    <row r="85" spans="1:8" ht="12.75">
      <c r="A85" s="8" t="s">
        <v>236</v>
      </c>
      <c r="B85" s="135"/>
      <c r="C85" s="135"/>
      <c r="D85" s="135">
        <v>100000</v>
      </c>
      <c r="E85" s="135"/>
      <c r="F85" s="135"/>
      <c r="G85" s="135">
        <v>100000</v>
      </c>
      <c r="H85" s="135"/>
    </row>
    <row r="86" spans="1:8" ht="12.75">
      <c r="A86" s="8" t="s">
        <v>237</v>
      </c>
      <c r="B86" s="135"/>
      <c r="C86" s="135"/>
      <c r="D86" s="135">
        <v>100000</v>
      </c>
      <c r="E86" s="135"/>
      <c r="F86" s="135"/>
      <c r="G86" s="135">
        <v>100000</v>
      </c>
      <c r="H86" s="135"/>
    </row>
    <row r="87" spans="1:8" ht="12.75">
      <c r="A87" s="8" t="s">
        <v>233</v>
      </c>
      <c r="B87" s="135">
        <f>B54</f>
        <v>0</v>
      </c>
      <c r="C87" s="135">
        <f>C54</f>
        <v>0</v>
      </c>
      <c r="D87" s="135">
        <v>5</v>
      </c>
      <c r="E87" s="135">
        <v>0</v>
      </c>
      <c r="F87" s="135">
        <v>0</v>
      </c>
      <c r="G87" s="135">
        <v>10</v>
      </c>
      <c r="H87" s="135">
        <v>0</v>
      </c>
    </row>
    <row r="88" spans="1:8" ht="12.75">
      <c r="A88" s="8" t="s">
        <v>234</v>
      </c>
      <c r="B88" s="135"/>
      <c r="C88" s="135"/>
      <c r="D88" s="135">
        <v>40000</v>
      </c>
      <c r="E88" s="135"/>
      <c r="F88" s="135"/>
      <c r="G88" s="135">
        <v>20000</v>
      </c>
      <c r="H88" s="135"/>
    </row>
    <row r="89" spans="1:8" ht="12.75">
      <c r="A89" s="8" t="s">
        <v>231</v>
      </c>
      <c r="B89" s="135"/>
      <c r="C89" s="135"/>
      <c r="D89" s="135">
        <v>20</v>
      </c>
      <c r="E89" s="135">
        <v>20</v>
      </c>
      <c r="F89" s="135"/>
      <c r="G89" s="135">
        <v>100</v>
      </c>
      <c r="H89" s="135"/>
    </row>
    <row r="90" spans="1:8" ht="12.75">
      <c r="A90" s="8" t="s">
        <v>232</v>
      </c>
      <c r="B90" s="135"/>
      <c r="C90" s="135"/>
      <c r="D90" s="135">
        <v>10000</v>
      </c>
      <c r="E90" s="135">
        <v>10000</v>
      </c>
      <c r="F90" s="135"/>
      <c r="G90" s="135">
        <v>10000</v>
      </c>
      <c r="H90" s="135"/>
    </row>
    <row r="91" spans="1:8" ht="12.75">
      <c r="A91" s="8" t="s">
        <v>235</v>
      </c>
      <c r="B91" s="135"/>
      <c r="C91" s="135"/>
      <c r="D91" s="135">
        <v>6</v>
      </c>
      <c r="E91" s="135">
        <v>6</v>
      </c>
      <c r="F91" s="135"/>
      <c r="G91" s="135">
        <v>12</v>
      </c>
      <c r="H91" s="135"/>
    </row>
    <row r="92" spans="1:8" ht="12.75">
      <c r="A92" s="8" t="s">
        <v>239</v>
      </c>
      <c r="B92" s="135"/>
      <c r="C92" s="135"/>
      <c r="D92" s="135">
        <v>20000</v>
      </c>
      <c r="E92" s="135">
        <v>20000</v>
      </c>
      <c r="F92" s="135"/>
      <c r="G92" s="135">
        <v>20000</v>
      </c>
      <c r="H92" s="135"/>
    </row>
    <row r="93" spans="1:8" s="4" customFormat="1" ht="12.75">
      <c r="A93" s="164" t="s">
        <v>238</v>
      </c>
      <c r="B93" s="165">
        <f>B87*B88+B89*B90+B91*B92+SUM(B85:B86)</f>
        <v>0</v>
      </c>
      <c r="C93" s="165">
        <f>C87*C88+C89*C90+C91*C92+SUM(C85:C86)</f>
        <v>0</v>
      </c>
      <c r="D93" s="165">
        <f>D87*D88+D89*D90+D91*D92+SUM(D85:D86)</f>
        <v>720000</v>
      </c>
      <c r="E93" s="165">
        <f>E87*E88+E89*E90+E91*E92+SUM(E85:E86)</f>
        <v>320000</v>
      </c>
      <c r="F93" s="165">
        <f>F87*F88+F89*F90+F91*F92+SUM(F85:F86)</f>
        <v>0</v>
      </c>
      <c r="G93" s="165">
        <f>G87*G88+G89*G90+G91*G92+SUM(G85:G86)</f>
        <v>1640000</v>
      </c>
      <c r="H93" s="165">
        <f>H87*H88+H89*H90+H91*H92+SUM(H85:H86)</f>
        <v>0</v>
      </c>
    </row>
    <row r="94" spans="1:10" ht="12.75">
      <c r="A94" s="6" t="s">
        <v>167</v>
      </c>
      <c r="B94" s="142">
        <f>B80+B93+B83</f>
        <v>720000</v>
      </c>
      <c r="C94" s="142">
        <f aca="true" t="shared" si="21" ref="C94:H94">C80+C93+C83</f>
        <v>1045500</v>
      </c>
      <c r="D94" s="142">
        <f>D80+D93+D83</f>
        <v>2361696.875</v>
      </c>
      <c r="E94" s="142">
        <f t="shared" si="21"/>
        <v>2021487.1874999995</v>
      </c>
      <c r="F94" s="142">
        <f t="shared" si="21"/>
        <v>1744024.3671874995</v>
      </c>
      <c r="G94" s="142">
        <f t="shared" si="21"/>
        <v>4988968.3101562485</v>
      </c>
      <c r="H94" s="142">
        <f t="shared" si="21"/>
        <v>5334589.723779295</v>
      </c>
      <c r="J94" s="65" t="s">
        <v>80</v>
      </c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125" t="s">
        <v>12</v>
      </c>
      <c r="B96" s="126" t="s">
        <v>46</v>
      </c>
      <c r="C96" s="126" t="s">
        <v>47</v>
      </c>
      <c r="D96" s="126" t="s">
        <v>48</v>
      </c>
      <c r="E96" s="126" t="s">
        <v>49</v>
      </c>
      <c r="F96" s="126" t="s">
        <v>50</v>
      </c>
      <c r="G96" s="126" t="s">
        <v>51</v>
      </c>
      <c r="H96" s="126" t="s">
        <v>52</v>
      </c>
    </row>
    <row r="97" spans="1:8" ht="12.75">
      <c r="A97" s="6" t="s">
        <v>194</v>
      </c>
      <c r="B97" s="5"/>
      <c r="C97" s="5"/>
      <c r="D97" s="5"/>
      <c r="E97" s="5"/>
      <c r="F97" s="5"/>
      <c r="G97" s="5"/>
      <c r="H97" s="5"/>
    </row>
    <row r="98" spans="1:10" ht="12.75">
      <c r="A98" s="10" t="s">
        <v>148</v>
      </c>
      <c r="B98" s="140">
        <f>B14</f>
        <v>0</v>
      </c>
      <c r="C98" s="140">
        <f aca="true" t="shared" si="22" ref="C98:H98">C14</f>
        <v>0</v>
      </c>
      <c r="D98" s="140">
        <f t="shared" si="22"/>
        <v>1</v>
      </c>
      <c r="E98" s="140">
        <f t="shared" si="22"/>
        <v>9</v>
      </c>
      <c r="F98" s="140">
        <f t="shared" si="22"/>
        <v>12</v>
      </c>
      <c r="G98" s="140">
        <f t="shared" si="22"/>
        <v>25</v>
      </c>
      <c r="H98" s="140">
        <f t="shared" si="22"/>
        <v>50</v>
      </c>
      <c r="J98" s="65" t="s">
        <v>78</v>
      </c>
    </row>
    <row r="99" spans="1:10" ht="12.75">
      <c r="A99" s="10" t="s">
        <v>162</v>
      </c>
      <c r="B99" s="141">
        <f>B36</f>
        <v>220000</v>
      </c>
      <c r="C99" s="141">
        <f aca="true" t="shared" si="23" ref="C99:H99">C36</f>
        <v>225499.99999999997</v>
      </c>
      <c r="D99" s="141">
        <f t="shared" si="23"/>
        <v>231137.49999999994</v>
      </c>
      <c r="E99" s="141">
        <f t="shared" si="23"/>
        <v>236915.9374999999</v>
      </c>
      <c r="F99" s="141">
        <f t="shared" si="23"/>
        <v>242838.83593749988</v>
      </c>
      <c r="G99" s="141">
        <f t="shared" si="23"/>
        <v>248909.80683593737</v>
      </c>
      <c r="H99" s="141">
        <f t="shared" si="23"/>
        <v>255132.5520068358</v>
      </c>
      <c r="J99" s="65" t="s">
        <v>79</v>
      </c>
    </row>
    <row r="100" spans="1:10" ht="12.75">
      <c r="A100" s="10" t="s">
        <v>191</v>
      </c>
      <c r="B100" s="140">
        <f>B16+B17+B18</f>
        <v>1.75</v>
      </c>
      <c r="C100" s="140">
        <f aca="true" t="shared" si="24" ref="C100:H100">C16+C17+C18</f>
        <v>3</v>
      </c>
      <c r="D100" s="140">
        <f t="shared" si="24"/>
        <v>3</v>
      </c>
      <c r="E100" s="140">
        <f t="shared" si="24"/>
        <v>8</v>
      </c>
      <c r="F100" s="140">
        <f t="shared" si="24"/>
        <v>10.5</v>
      </c>
      <c r="G100" s="140">
        <f t="shared" si="24"/>
        <v>12</v>
      </c>
      <c r="H100" s="140">
        <f t="shared" si="24"/>
        <v>12</v>
      </c>
      <c r="J100" s="65" t="s">
        <v>78</v>
      </c>
    </row>
    <row r="101" spans="1:10" ht="12.75">
      <c r="A101" s="10" t="s">
        <v>162</v>
      </c>
      <c r="B101" s="141">
        <f>B35</f>
        <v>260000</v>
      </c>
      <c r="C101" s="141">
        <f aca="true" t="shared" si="25" ref="C101:H101">C35</f>
        <v>266500</v>
      </c>
      <c r="D101" s="141">
        <f t="shared" si="25"/>
        <v>273162.5</v>
      </c>
      <c r="E101" s="141">
        <f t="shared" si="25"/>
        <v>279991.5625</v>
      </c>
      <c r="F101" s="141">
        <f t="shared" si="25"/>
        <v>286991.3515625</v>
      </c>
      <c r="G101" s="141">
        <f t="shared" si="25"/>
        <v>294166.13535156247</v>
      </c>
      <c r="H101" s="141">
        <f t="shared" si="25"/>
        <v>301520.2887353515</v>
      </c>
      <c r="J101" s="65" t="s">
        <v>79</v>
      </c>
    </row>
    <row r="102" spans="1:10" ht="12.75">
      <c r="A102" s="10" t="s">
        <v>192</v>
      </c>
      <c r="B102" s="140">
        <f>B15</f>
        <v>0</v>
      </c>
      <c r="C102" s="140">
        <f aca="true" t="shared" si="26" ref="C102:H102">C15</f>
        <v>0.75</v>
      </c>
      <c r="D102" s="140">
        <f t="shared" si="26"/>
        <v>1.5</v>
      </c>
      <c r="E102" s="140">
        <f t="shared" si="26"/>
        <v>3</v>
      </c>
      <c r="F102" s="140">
        <f t="shared" si="26"/>
        <v>3.75</v>
      </c>
      <c r="G102" s="140">
        <f t="shared" si="26"/>
        <v>5</v>
      </c>
      <c r="H102" s="140">
        <f t="shared" si="26"/>
        <v>5</v>
      </c>
      <c r="J102" s="65"/>
    </row>
    <row r="103" spans="1:10" ht="12.75">
      <c r="A103" s="10" t="s">
        <v>162</v>
      </c>
      <c r="B103" s="141">
        <f>B36</f>
        <v>220000</v>
      </c>
      <c r="C103" s="141">
        <f aca="true" t="shared" si="27" ref="C103:H103">C36</f>
        <v>225499.99999999997</v>
      </c>
      <c r="D103" s="141">
        <f t="shared" si="27"/>
        <v>231137.49999999994</v>
      </c>
      <c r="E103" s="141">
        <f t="shared" si="27"/>
        <v>236915.9374999999</v>
      </c>
      <c r="F103" s="141">
        <f t="shared" si="27"/>
        <v>242838.83593749988</v>
      </c>
      <c r="G103" s="141">
        <f t="shared" si="27"/>
        <v>248909.80683593737</v>
      </c>
      <c r="H103" s="141">
        <f t="shared" si="27"/>
        <v>255132.5520068358</v>
      </c>
      <c r="J103" s="65"/>
    </row>
    <row r="104" spans="1:10" ht="12.75">
      <c r="A104" s="10" t="s">
        <v>150</v>
      </c>
      <c r="B104" s="140">
        <f>B19</f>
        <v>0</v>
      </c>
      <c r="C104" s="140">
        <f aca="true" t="shared" si="28" ref="C104:H104">C19</f>
        <v>0.75</v>
      </c>
      <c r="D104" s="140">
        <f t="shared" si="28"/>
        <v>1</v>
      </c>
      <c r="E104" s="140">
        <f t="shared" si="28"/>
        <v>1.5</v>
      </c>
      <c r="F104" s="140">
        <f t="shared" si="28"/>
        <v>2.75</v>
      </c>
      <c r="G104" s="140">
        <f t="shared" si="28"/>
        <v>4</v>
      </c>
      <c r="H104" s="140">
        <f t="shared" si="28"/>
        <v>5</v>
      </c>
      <c r="J104" s="65" t="s">
        <v>78</v>
      </c>
    </row>
    <row r="105" spans="1:10" ht="12.75">
      <c r="A105" s="10" t="s">
        <v>162</v>
      </c>
      <c r="B105" s="141">
        <f>B37</f>
        <v>70000</v>
      </c>
      <c r="C105" s="141">
        <f aca="true" t="shared" si="29" ref="C105:H105">C37</f>
        <v>71750</v>
      </c>
      <c r="D105" s="141">
        <f t="shared" si="29"/>
        <v>73543.75</v>
      </c>
      <c r="E105" s="141">
        <f t="shared" si="29"/>
        <v>75382.34375</v>
      </c>
      <c r="F105" s="141">
        <f t="shared" si="29"/>
        <v>77266.90234375</v>
      </c>
      <c r="G105" s="141">
        <f t="shared" si="29"/>
        <v>79198.57490234374</v>
      </c>
      <c r="H105" s="141">
        <f t="shared" si="29"/>
        <v>81178.53927490233</v>
      </c>
      <c r="J105" s="65" t="s">
        <v>79</v>
      </c>
    </row>
    <row r="106" spans="1:10" ht="12.75">
      <c r="A106" s="10" t="s">
        <v>149</v>
      </c>
      <c r="B106" s="140">
        <f>B20</f>
        <v>1</v>
      </c>
      <c r="C106" s="140">
        <f aca="true" t="shared" si="30" ref="C106:H106">C20</f>
        <v>2</v>
      </c>
      <c r="D106" s="140">
        <f t="shared" si="30"/>
        <v>2.5</v>
      </c>
      <c r="E106" s="140">
        <f t="shared" si="30"/>
        <v>4.5</v>
      </c>
      <c r="F106" s="140">
        <f t="shared" si="30"/>
        <v>6</v>
      </c>
      <c r="G106" s="140">
        <f t="shared" si="30"/>
        <v>8</v>
      </c>
      <c r="H106" s="140">
        <f t="shared" si="30"/>
        <v>8</v>
      </c>
      <c r="J106" s="65" t="s">
        <v>78</v>
      </c>
    </row>
    <row r="107" spans="1:10" ht="12.75">
      <c r="A107" s="10" t="s">
        <v>162</v>
      </c>
      <c r="B107" s="141">
        <f>B39</f>
        <v>400000</v>
      </c>
      <c r="C107" s="141">
        <f aca="true" t="shared" si="31" ref="C107:H107">C39</f>
        <v>409999.99999999994</v>
      </c>
      <c r="D107" s="141">
        <f t="shared" si="31"/>
        <v>420249.9999999999</v>
      </c>
      <c r="E107" s="141">
        <f t="shared" si="31"/>
        <v>430756.2499999998</v>
      </c>
      <c r="F107" s="141">
        <f t="shared" si="31"/>
        <v>441525.15624999977</v>
      </c>
      <c r="G107" s="141">
        <f t="shared" si="31"/>
        <v>452563.2851562497</v>
      </c>
      <c r="H107" s="141">
        <f t="shared" si="31"/>
        <v>463877.3672851559</v>
      </c>
      <c r="J107" s="65" t="s">
        <v>79</v>
      </c>
    </row>
    <row r="108" spans="1:10" ht="12.75">
      <c r="A108" s="10" t="s">
        <v>194</v>
      </c>
      <c r="B108" s="143">
        <f>(B98*B99)+(B100*B101)+(B102*B103)+(B104*B105)+(B106*B107)</f>
        <v>855000</v>
      </c>
      <c r="C108" s="143">
        <f aca="true" t="shared" si="32" ref="C108:H108">(C98*C99)+(C100*C101)+(C102*C103)+(C104*C105)+(C106*C107)</f>
        <v>1842437.5</v>
      </c>
      <c r="D108" s="143">
        <f t="shared" si="32"/>
        <v>2521500</v>
      </c>
      <c r="E108" s="143">
        <f t="shared" si="32"/>
        <v>7134400.390624998</v>
      </c>
      <c r="F108" s="143">
        <f t="shared" si="32"/>
        <v>9699755.776367184</v>
      </c>
      <c r="G108" s="143">
        <f t="shared" si="32"/>
        <v>14934588.410156244</v>
      </c>
      <c r="H108" s="143">
        <f t="shared" si="32"/>
        <v>21767445.459855944</v>
      </c>
      <c r="J108" s="65"/>
    </row>
    <row r="109" spans="1:10" ht="12.75">
      <c r="A109" s="6" t="s">
        <v>195</v>
      </c>
      <c r="B109" s="163" t="s">
        <v>46</v>
      </c>
      <c r="C109" s="163" t="s">
        <v>47</v>
      </c>
      <c r="D109" s="163" t="s">
        <v>48</v>
      </c>
      <c r="E109" s="163" t="s">
        <v>49</v>
      </c>
      <c r="F109" s="163" t="s">
        <v>50</v>
      </c>
      <c r="G109" s="163" t="s">
        <v>51</v>
      </c>
      <c r="H109" s="163" t="s">
        <v>52</v>
      </c>
      <c r="J109" s="65"/>
    </row>
    <row r="110" spans="1:10" ht="12.75">
      <c r="A110" s="10" t="s">
        <v>164</v>
      </c>
      <c r="B110" s="130">
        <v>25</v>
      </c>
      <c r="C110" s="131">
        <f aca="true" t="shared" si="33" ref="C110:H110">B110*(1+C111)</f>
        <v>25.624999999999996</v>
      </c>
      <c r="D110" s="131">
        <f t="shared" si="33"/>
        <v>26.265624999999993</v>
      </c>
      <c r="E110" s="131">
        <f t="shared" si="33"/>
        <v>26.92226562499999</v>
      </c>
      <c r="F110" s="131">
        <f t="shared" si="33"/>
        <v>27.59532226562499</v>
      </c>
      <c r="G110" s="131">
        <f t="shared" si="33"/>
        <v>28.28520532226561</v>
      </c>
      <c r="H110" s="131">
        <f t="shared" si="33"/>
        <v>28.992335455322248</v>
      </c>
      <c r="J110" s="65" t="s">
        <v>81</v>
      </c>
    </row>
    <row r="111" spans="1:10" ht="12.75">
      <c r="A111" s="144" t="s">
        <v>44</v>
      </c>
      <c r="B111" s="133" t="s">
        <v>40</v>
      </c>
      <c r="C111" s="134">
        <v>0.025</v>
      </c>
      <c r="D111" s="134">
        <v>0.025</v>
      </c>
      <c r="E111" s="134">
        <v>0.025</v>
      </c>
      <c r="F111" s="134">
        <v>0.025</v>
      </c>
      <c r="G111" s="134">
        <v>0.025</v>
      </c>
      <c r="H111" s="134">
        <v>0.025</v>
      </c>
      <c r="J111" s="65" t="s">
        <v>82</v>
      </c>
    </row>
    <row r="112" spans="1:10" ht="12.75">
      <c r="A112" s="10" t="s">
        <v>151</v>
      </c>
      <c r="B112" s="135">
        <v>200</v>
      </c>
      <c r="C112" s="135">
        <v>200</v>
      </c>
      <c r="D112" s="135">
        <v>200</v>
      </c>
      <c r="E112" s="135">
        <v>200</v>
      </c>
      <c r="F112" s="135">
        <v>200</v>
      </c>
      <c r="G112" s="135">
        <v>200</v>
      </c>
      <c r="H112" s="135">
        <v>200</v>
      </c>
      <c r="J112" t="s">
        <v>114</v>
      </c>
    </row>
    <row r="113" spans="1:10" ht="12.75">
      <c r="A113" s="144" t="s">
        <v>56</v>
      </c>
      <c r="B113" s="128">
        <f aca="true" t="shared" si="34" ref="B113:H113">B100+B104+B106+B98+B78+B76</f>
        <v>6.75</v>
      </c>
      <c r="C113" s="128">
        <f t="shared" si="34"/>
        <v>12.75</v>
      </c>
      <c r="D113" s="128">
        <f t="shared" si="34"/>
        <v>18.25</v>
      </c>
      <c r="E113" s="128">
        <f t="shared" si="34"/>
        <v>34</v>
      </c>
      <c r="F113" s="128">
        <f t="shared" si="34"/>
        <v>42.25</v>
      </c>
      <c r="G113" s="128">
        <f t="shared" si="34"/>
        <v>69</v>
      </c>
      <c r="H113" s="128">
        <f t="shared" si="34"/>
        <v>105</v>
      </c>
      <c r="J113" s="65" t="s">
        <v>78</v>
      </c>
    </row>
    <row r="114" spans="1:10" ht="12.75">
      <c r="A114" s="144" t="s">
        <v>142</v>
      </c>
      <c r="B114" s="127">
        <f aca="true" t="shared" si="35" ref="B114:H114">B112*B113</f>
        <v>1350</v>
      </c>
      <c r="C114" s="127">
        <f t="shared" si="35"/>
        <v>2550</v>
      </c>
      <c r="D114" s="127">
        <f t="shared" si="35"/>
        <v>3650</v>
      </c>
      <c r="E114" s="127">
        <f t="shared" si="35"/>
        <v>6800</v>
      </c>
      <c r="F114" s="127">
        <f t="shared" si="35"/>
        <v>8450</v>
      </c>
      <c r="G114" s="127">
        <f t="shared" si="35"/>
        <v>13800</v>
      </c>
      <c r="H114" s="127">
        <f t="shared" si="35"/>
        <v>21000</v>
      </c>
      <c r="J114" t="s">
        <v>114</v>
      </c>
    </row>
    <row r="115" spans="1:10" ht="12.75">
      <c r="A115" s="144" t="s">
        <v>141</v>
      </c>
      <c r="B115" s="135">
        <v>3000</v>
      </c>
      <c r="C115" s="135">
        <v>3000</v>
      </c>
      <c r="D115" s="135">
        <v>10000</v>
      </c>
      <c r="E115" s="135">
        <v>10000</v>
      </c>
      <c r="F115" s="135">
        <v>10000</v>
      </c>
      <c r="G115" s="135">
        <v>25000</v>
      </c>
      <c r="H115" s="135">
        <v>25000</v>
      </c>
      <c r="J115" s="65" t="s">
        <v>83</v>
      </c>
    </row>
    <row r="116" spans="1:10" ht="12.75">
      <c r="A116" s="8" t="s">
        <v>169</v>
      </c>
      <c r="B116" s="143">
        <f aca="true" t="shared" si="36" ref="B116:H116">B110*B115</f>
        <v>75000</v>
      </c>
      <c r="C116" s="143">
        <f t="shared" si="36"/>
        <v>76874.99999999999</v>
      </c>
      <c r="D116" s="143">
        <f t="shared" si="36"/>
        <v>262656.24999999994</v>
      </c>
      <c r="E116" s="143">
        <f t="shared" si="36"/>
        <v>269222.6562499999</v>
      </c>
      <c r="F116" s="143">
        <f t="shared" si="36"/>
        <v>275953.2226562499</v>
      </c>
      <c r="G116" s="143">
        <f t="shared" si="36"/>
        <v>707130.1330566403</v>
      </c>
      <c r="H116" s="143">
        <f t="shared" si="36"/>
        <v>724808.3863830562</v>
      </c>
      <c r="J116" s="65" t="s">
        <v>87</v>
      </c>
    </row>
    <row r="117" spans="1:10" ht="12.75">
      <c r="A117" s="16" t="s">
        <v>254</v>
      </c>
      <c r="B117" s="143"/>
      <c r="C117" s="143"/>
      <c r="D117" s="143"/>
      <c r="E117" s="143"/>
      <c r="F117" s="143"/>
      <c r="G117" s="143"/>
      <c r="H117" s="143"/>
      <c r="J117" s="65"/>
    </row>
    <row r="118" spans="1:10" ht="12.75">
      <c r="A118" s="8" t="s">
        <v>253</v>
      </c>
      <c r="B118" s="143"/>
      <c r="C118" s="143"/>
      <c r="D118" s="135">
        <v>150000</v>
      </c>
      <c r="E118" s="135">
        <v>150000</v>
      </c>
      <c r="F118" s="135">
        <v>250000</v>
      </c>
      <c r="G118" s="135">
        <v>350000</v>
      </c>
      <c r="H118" s="135">
        <v>500000</v>
      </c>
      <c r="J118" s="65"/>
    </row>
    <row r="119" spans="1:10" ht="12.75">
      <c r="A119" s="164" t="s">
        <v>249</v>
      </c>
      <c r="B119" s="142">
        <f>B118</f>
        <v>0</v>
      </c>
      <c r="C119" s="142">
        <f aca="true" t="shared" si="37" ref="C119:H119">C118</f>
        <v>0</v>
      </c>
      <c r="D119" s="142">
        <f t="shared" si="37"/>
        <v>150000</v>
      </c>
      <c r="E119" s="142">
        <f t="shared" si="37"/>
        <v>150000</v>
      </c>
      <c r="F119" s="142">
        <f t="shared" si="37"/>
        <v>250000</v>
      </c>
      <c r="G119" s="142">
        <f t="shared" si="37"/>
        <v>350000</v>
      </c>
      <c r="H119" s="142">
        <f t="shared" si="37"/>
        <v>500000</v>
      </c>
      <c r="J119" s="65"/>
    </row>
    <row r="120" spans="1:8" s="4" customFormat="1" ht="12.75">
      <c r="A120" s="16" t="s">
        <v>241</v>
      </c>
      <c r="B120" s="165"/>
      <c r="C120" s="165"/>
      <c r="D120" s="165"/>
      <c r="E120" s="165"/>
      <c r="F120" s="165"/>
      <c r="G120" s="165"/>
      <c r="H120" s="165"/>
    </row>
    <row r="121" spans="1:8" s="4" customFormat="1" ht="12.75">
      <c r="A121" s="8" t="s">
        <v>242</v>
      </c>
      <c r="B121" s="135">
        <v>7000</v>
      </c>
      <c r="C121" s="135">
        <v>7000</v>
      </c>
      <c r="D121" s="135">
        <v>7000</v>
      </c>
      <c r="E121" s="135">
        <v>15000</v>
      </c>
      <c r="F121" s="135">
        <v>20000</v>
      </c>
      <c r="G121" s="135">
        <v>25000</v>
      </c>
      <c r="H121" s="135">
        <v>30000</v>
      </c>
    </row>
    <row r="122" spans="1:8" s="4" customFormat="1" ht="12.75">
      <c r="A122" s="8" t="s">
        <v>246</v>
      </c>
      <c r="B122" s="135">
        <v>12</v>
      </c>
      <c r="C122" s="135">
        <v>12</v>
      </c>
      <c r="D122" s="135">
        <v>12</v>
      </c>
      <c r="E122" s="135">
        <v>12</v>
      </c>
      <c r="F122" s="135">
        <v>12</v>
      </c>
      <c r="G122" s="135">
        <v>12</v>
      </c>
      <c r="H122" s="135">
        <v>12</v>
      </c>
    </row>
    <row r="123" spans="1:8" s="4" customFormat="1" ht="12.75">
      <c r="A123" s="8" t="s">
        <v>243</v>
      </c>
      <c r="B123" s="135">
        <v>30000</v>
      </c>
      <c r="C123" s="135">
        <v>30000</v>
      </c>
      <c r="D123" s="135">
        <v>30000</v>
      </c>
      <c r="E123" s="135">
        <v>30000</v>
      </c>
      <c r="F123" s="135">
        <v>30000</v>
      </c>
      <c r="G123" s="135">
        <v>30000</v>
      </c>
      <c r="H123" s="135">
        <v>30000</v>
      </c>
    </row>
    <row r="124" spans="1:8" s="4" customFormat="1" ht="12.75">
      <c r="A124" s="8" t="s">
        <v>247</v>
      </c>
      <c r="B124" s="135">
        <v>5</v>
      </c>
      <c r="C124" s="135">
        <v>5</v>
      </c>
      <c r="D124" s="135">
        <v>5</v>
      </c>
      <c r="E124" s="135">
        <v>5</v>
      </c>
      <c r="F124" s="135">
        <v>10</v>
      </c>
      <c r="G124" s="135">
        <v>10</v>
      </c>
      <c r="H124" s="135">
        <v>10</v>
      </c>
    </row>
    <row r="125" spans="1:8" s="4" customFormat="1" ht="12.75">
      <c r="A125" s="8" t="s">
        <v>245</v>
      </c>
      <c r="B125" s="135">
        <v>5000</v>
      </c>
      <c r="C125" s="135">
        <v>5000</v>
      </c>
      <c r="D125" s="135">
        <v>5000</v>
      </c>
      <c r="E125" s="135">
        <v>20000</v>
      </c>
      <c r="F125" s="135">
        <v>20000</v>
      </c>
      <c r="G125" s="135">
        <v>20000</v>
      </c>
      <c r="H125" s="135">
        <v>20000</v>
      </c>
    </row>
    <row r="126" spans="1:8" s="4" customFormat="1" ht="12.75">
      <c r="A126" s="8" t="s">
        <v>246</v>
      </c>
      <c r="B126" s="135">
        <v>12</v>
      </c>
      <c r="C126" s="135">
        <v>12</v>
      </c>
      <c r="D126" s="135">
        <v>12</v>
      </c>
      <c r="E126" s="135">
        <v>12</v>
      </c>
      <c r="F126" s="135">
        <v>12</v>
      </c>
      <c r="G126" s="135">
        <v>12</v>
      </c>
      <c r="H126" s="135">
        <v>12</v>
      </c>
    </row>
    <row r="127" spans="1:8" s="4" customFormat="1" ht="12.75">
      <c r="A127" s="8" t="s">
        <v>244</v>
      </c>
      <c r="B127" s="135">
        <v>10000</v>
      </c>
      <c r="C127" s="135">
        <v>20000</v>
      </c>
      <c r="D127" s="135">
        <v>40000</v>
      </c>
      <c r="E127" s="135">
        <v>50000</v>
      </c>
      <c r="F127" s="135">
        <v>60000</v>
      </c>
      <c r="G127" s="135">
        <v>60000</v>
      </c>
      <c r="H127" s="135">
        <v>60000</v>
      </c>
    </row>
    <row r="128" spans="1:8" ht="12.75">
      <c r="A128" s="8" t="s">
        <v>248</v>
      </c>
      <c r="B128" s="135">
        <v>60000</v>
      </c>
      <c r="C128" s="135">
        <v>120000</v>
      </c>
      <c r="D128" s="135">
        <v>120000</v>
      </c>
      <c r="E128" s="135">
        <v>200000</v>
      </c>
      <c r="F128" s="135">
        <v>200000</v>
      </c>
      <c r="G128" s="135">
        <v>200000</v>
      </c>
      <c r="H128" s="135">
        <v>200000</v>
      </c>
    </row>
    <row r="129" spans="1:8" ht="12.75">
      <c r="A129" s="166" t="s">
        <v>249</v>
      </c>
      <c r="B129" s="167">
        <f>SUM(B127:B128)+B121*B122+B123*B124+B125*B126</f>
        <v>364000</v>
      </c>
      <c r="C129" s="167">
        <f aca="true" t="shared" si="38" ref="C129:H129">SUM(C127:C128)+C121*C122+C123*C124+C125*C126</f>
        <v>434000</v>
      </c>
      <c r="D129" s="167">
        <f t="shared" si="38"/>
        <v>454000</v>
      </c>
      <c r="E129" s="167">
        <f t="shared" si="38"/>
        <v>820000</v>
      </c>
      <c r="F129" s="167">
        <f t="shared" si="38"/>
        <v>1040000</v>
      </c>
      <c r="G129" s="167">
        <f t="shared" si="38"/>
        <v>1100000</v>
      </c>
      <c r="H129" s="167">
        <f t="shared" si="38"/>
        <v>1160000</v>
      </c>
    </row>
    <row r="130" spans="1:10" ht="12.75">
      <c r="A130" s="6" t="s">
        <v>168</v>
      </c>
      <c r="B130" s="142">
        <f>B108+B116+B129+B119</f>
        <v>1294000</v>
      </c>
      <c r="C130" s="142">
        <f aca="true" t="shared" si="39" ref="C130:H130">C108+C116+C129+C119</f>
        <v>2353312.5</v>
      </c>
      <c r="D130" s="142">
        <f t="shared" si="39"/>
        <v>3388156.25</v>
      </c>
      <c r="E130" s="142">
        <f t="shared" si="39"/>
        <v>8373623.046874998</v>
      </c>
      <c r="F130" s="142">
        <f t="shared" si="39"/>
        <v>11265708.999023434</v>
      </c>
      <c r="G130" s="142">
        <f t="shared" si="39"/>
        <v>17091718.543212883</v>
      </c>
      <c r="H130" s="142">
        <f t="shared" si="39"/>
        <v>24152253.846239</v>
      </c>
      <c r="J130" s="65" t="s">
        <v>80</v>
      </c>
    </row>
    <row r="131" spans="1:8" ht="12.75">
      <c r="A131" s="7"/>
      <c r="B131" s="7"/>
      <c r="C131" s="7"/>
      <c r="D131" s="7"/>
      <c r="E131" s="7"/>
      <c r="F131" s="7"/>
      <c r="G131" s="7"/>
      <c r="H131" s="7"/>
    </row>
    <row r="132" spans="1:8" ht="12.75">
      <c r="A132" s="16" t="s">
        <v>152</v>
      </c>
      <c r="B132" s="5" t="s">
        <v>46</v>
      </c>
      <c r="C132" s="5" t="s">
        <v>47</v>
      </c>
      <c r="D132" s="5" t="s">
        <v>48</v>
      </c>
      <c r="E132" s="5" t="s">
        <v>49</v>
      </c>
      <c r="F132" s="5" t="s">
        <v>50</v>
      </c>
      <c r="G132" s="5" t="s">
        <v>51</v>
      </c>
      <c r="H132" s="5" t="s">
        <v>52</v>
      </c>
    </row>
    <row r="133" spans="1:10" ht="12.75">
      <c r="A133" s="7" t="str">
        <f>A94</f>
        <v>R&amp;D costs ($)</v>
      </c>
      <c r="B133" s="141">
        <f>B94</f>
        <v>720000</v>
      </c>
      <c r="C133" s="141">
        <f aca="true" t="shared" si="40" ref="C133:H133">C94</f>
        <v>1045500</v>
      </c>
      <c r="D133" s="141">
        <f t="shared" si="40"/>
        <v>2361696.875</v>
      </c>
      <c r="E133" s="141">
        <f t="shared" si="40"/>
        <v>2021487.1874999995</v>
      </c>
      <c r="F133" s="141">
        <f t="shared" si="40"/>
        <v>1744024.3671874995</v>
      </c>
      <c r="G133" s="141">
        <f t="shared" si="40"/>
        <v>4988968.3101562485</v>
      </c>
      <c r="H133" s="141">
        <f t="shared" si="40"/>
        <v>5334589.723779295</v>
      </c>
      <c r="J133" s="65" t="s">
        <v>77</v>
      </c>
    </row>
    <row r="134" spans="1:10" ht="12.75">
      <c r="A134" s="7" t="str">
        <f>A130</f>
        <v>SG&amp;A costs ($)</v>
      </c>
      <c r="B134" s="141">
        <f>B130</f>
        <v>1294000</v>
      </c>
      <c r="C134" s="141">
        <f aca="true" t="shared" si="41" ref="C134:H134">C130</f>
        <v>2353312.5</v>
      </c>
      <c r="D134" s="141">
        <f t="shared" si="41"/>
        <v>3388156.25</v>
      </c>
      <c r="E134" s="141">
        <f t="shared" si="41"/>
        <v>8373623.046874998</v>
      </c>
      <c r="F134" s="141">
        <f t="shared" si="41"/>
        <v>11265708.999023434</v>
      </c>
      <c r="G134" s="141">
        <f t="shared" si="41"/>
        <v>17091718.543212883</v>
      </c>
      <c r="H134" s="141">
        <f t="shared" si="41"/>
        <v>24152253.846239</v>
      </c>
      <c r="J134" s="65" t="s">
        <v>77</v>
      </c>
    </row>
    <row r="135" spans="1:10" ht="12.75">
      <c r="A135" s="6" t="s">
        <v>170</v>
      </c>
      <c r="B135" s="142">
        <f aca="true" t="shared" si="42" ref="B135:H135">B133+B134</f>
        <v>2014000</v>
      </c>
      <c r="C135" s="142">
        <f t="shared" si="42"/>
        <v>3398812.5</v>
      </c>
      <c r="D135" s="142">
        <f t="shared" si="42"/>
        <v>5749853.125</v>
      </c>
      <c r="E135" s="142">
        <f t="shared" si="42"/>
        <v>10395110.234374998</v>
      </c>
      <c r="F135" s="142">
        <f t="shared" si="42"/>
        <v>13009733.366210934</v>
      </c>
      <c r="G135" s="142">
        <f t="shared" si="42"/>
        <v>22080686.85336913</v>
      </c>
      <c r="H135" s="142">
        <f t="shared" si="42"/>
        <v>29486843.570018295</v>
      </c>
      <c r="J135" s="65" t="s">
        <v>90</v>
      </c>
    </row>
  </sheetData>
  <sheetProtection/>
  <mergeCells count="6">
    <mergeCell ref="A1:H1"/>
    <mergeCell ref="A41:H41"/>
    <mergeCell ref="A72:H72"/>
    <mergeCell ref="J33:J39"/>
    <mergeCell ref="J4:J20"/>
    <mergeCell ref="J24:K30"/>
  </mergeCells>
  <printOptions/>
  <pageMargins left="0.75" right="0.75" top="1" bottom="1" header="0.5" footer="0.5"/>
  <pageSetup fitToHeight="3" horizontalDpi="1200" verticalDpi="1200" orientation="landscape" scale="97" r:id="rId1"/>
  <headerFooter alignWithMargins="0">
    <oddHeader>&amp;LFinancial Model Example&amp;RCost Analysis</oddHeader>
  </headerFooter>
  <rowBreaks count="2" manualBreakCount="2">
    <brk id="40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8.7109375" style="3" customWidth="1"/>
    <col min="2" max="8" width="13.140625" style="3" customWidth="1"/>
    <col min="9" max="9" width="2.8515625" style="3" customWidth="1"/>
    <col min="10" max="10" width="9.00390625" style="3" bestFit="1" customWidth="1"/>
    <col min="11" max="16384" width="9.140625" style="3" customWidth="1"/>
  </cols>
  <sheetData>
    <row r="1" spans="1:8" ht="15.75">
      <c r="A1" s="50" t="s">
        <v>57</v>
      </c>
      <c r="B1" s="51"/>
      <c r="C1" s="52"/>
      <c r="D1" s="51"/>
      <c r="E1" s="51"/>
      <c r="F1" s="51"/>
      <c r="G1" s="51"/>
      <c r="H1" s="52"/>
    </row>
    <row r="2" spans="1:8" ht="12.75">
      <c r="A2" s="14"/>
      <c r="B2" s="5" t="s">
        <v>46</v>
      </c>
      <c r="C2" s="44" t="s">
        <v>47</v>
      </c>
      <c r="D2" s="5" t="s">
        <v>48</v>
      </c>
      <c r="E2" s="59" t="s">
        <v>49</v>
      </c>
      <c r="F2" s="5" t="s">
        <v>50</v>
      </c>
      <c r="G2" s="5" t="s">
        <v>51</v>
      </c>
      <c r="H2" s="44" t="s">
        <v>52</v>
      </c>
    </row>
    <row r="3" spans="1:10" ht="12.75">
      <c r="A3" s="2" t="s">
        <v>161</v>
      </c>
      <c r="B3" s="71">
        <f>'Market Model_top down'!B22</f>
        <v>0</v>
      </c>
      <c r="C3" s="71">
        <f>'Market Model_top down'!C22</f>
        <v>0</v>
      </c>
      <c r="D3" s="71">
        <f>'Market Model_top down'!D22</f>
        <v>57104.4202344</v>
      </c>
      <c r="E3" s="71">
        <f>'Market Model_top down'!E22</f>
        <v>1138030.8760647995</v>
      </c>
      <c r="F3" s="71">
        <f>'Market Model_top down'!F22</f>
        <v>9535776.725666953</v>
      </c>
      <c r="G3" s="71">
        <f>'Market Model_top down'!G22</f>
        <v>27611748.031793453</v>
      </c>
      <c r="H3" s="71">
        <f>'Market Model_top down'!H22</f>
        <v>53975432.02814039</v>
      </c>
      <c r="J3" s="107" t="s">
        <v>91</v>
      </c>
    </row>
    <row r="4" spans="1:10" ht="12.75">
      <c r="A4" s="3" t="s">
        <v>222</v>
      </c>
      <c r="B4" s="71">
        <f>'Cost Analysis'!B69</f>
        <v>0</v>
      </c>
      <c r="C4" s="71">
        <f>'Cost Analysis'!C69</f>
        <v>0</v>
      </c>
      <c r="D4" s="71">
        <f>'Cost Analysis'!D69</f>
        <v>885861.89624</v>
      </c>
      <c r="E4" s="71">
        <f>'Cost Analysis'!E69</f>
        <v>2292939.03199542</v>
      </c>
      <c r="F4" s="71">
        <f>'Cost Analysis'!F69</f>
        <v>5467651.975018153</v>
      </c>
      <c r="G4" s="71">
        <f>'Cost Analysis'!G69</f>
        <v>9094512.23618652</v>
      </c>
      <c r="H4" s="71">
        <f>'Cost Analysis'!H69</f>
        <v>14942750.448143877</v>
      </c>
      <c r="J4" s="107" t="s">
        <v>92</v>
      </c>
    </row>
    <row r="5" spans="1:10" ht="13.5" thickBot="1">
      <c r="A5" s="80" t="s">
        <v>172</v>
      </c>
      <c r="B5" s="72">
        <f aca="true" t="shared" si="0" ref="B5:H5">B3-B4</f>
        <v>0</v>
      </c>
      <c r="C5" s="72">
        <f t="shared" si="0"/>
        <v>0</v>
      </c>
      <c r="D5" s="72">
        <f t="shared" si="0"/>
        <v>-828757.4760056001</v>
      </c>
      <c r="E5" s="72">
        <f t="shared" si="0"/>
        <v>-1154908.1559306204</v>
      </c>
      <c r="F5" s="72">
        <f t="shared" si="0"/>
        <v>4068124.7506488003</v>
      </c>
      <c r="G5" s="72">
        <f t="shared" si="0"/>
        <v>18517235.795606934</v>
      </c>
      <c r="H5" s="72">
        <f t="shared" si="0"/>
        <v>39032681.57999651</v>
      </c>
      <c r="J5" s="107" t="s">
        <v>93</v>
      </c>
    </row>
    <row r="6" spans="1:10" ht="13.5" thickTop="1">
      <c r="A6" s="108" t="s">
        <v>153</v>
      </c>
      <c r="B6" s="109" t="s">
        <v>58</v>
      </c>
      <c r="C6" s="109" t="s">
        <v>58</v>
      </c>
      <c r="D6" s="109" t="s">
        <v>58</v>
      </c>
      <c r="E6" s="110">
        <f>E5/E3</f>
        <v>-1.0148302477734004</v>
      </c>
      <c r="F6" s="110">
        <f>F5/F3</f>
        <v>0.4266170305454868</v>
      </c>
      <c r="G6" s="110">
        <f>G5/G3</f>
        <v>0.6706288850052277</v>
      </c>
      <c r="H6" s="110">
        <f>H5/H3</f>
        <v>0.7231564456889684</v>
      </c>
      <c r="J6" s="107" t="s">
        <v>94</v>
      </c>
    </row>
    <row r="8" ht="12.75">
      <c r="A8" s="2" t="s">
        <v>54</v>
      </c>
    </row>
    <row r="9" spans="1:10" ht="12.75">
      <c r="A9" s="92" t="str">
        <f>'Cost Analysis'!A133</f>
        <v>R&amp;D costs ($)</v>
      </c>
      <c r="B9" s="71">
        <f>'Cost Analysis'!B133</f>
        <v>720000</v>
      </c>
      <c r="C9" s="71">
        <f>'Cost Analysis'!C133</f>
        <v>1045500</v>
      </c>
      <c r="D9" s="71">
        <f>'Cost Analysis'!D133</f>
        <v>2361696.875</v>
      </c>
      <c r="E9" s="71">
        <f>'Cost Analysis'!E133</f>
        <v>2021487.1874999995</v>
      </c>
      <c r="F9" s="71">
        <f>'Cost Analysis'!F133</f>
        <v>1744024.3671874995</v>
      </c>
      <c r="G9" s="71">
        <f>'Cost Analysis'!G133</f>
        <v>4988968.3101562485</v>
      </c>
      <c r="H9" s="71">
        <f>'Cost Analysis'!H133</f>
        <v>5334589.723779295</v>
      </c>
      <c r="J9" s="107" t="s">
        <v>92</v>
      </c>
    </row>
    <row r="10" spans="1:10" ht="12.75">
      <c r="A10" s="111" t="s">
        <v>59</v>
      </c>
      <c r="B10" s="109" t="s">
        <v>58</v>
      </c>
      <c r="C10" s="109" t="s">
        <v>58</v>
      </c>
      <c r="D10" s="110">
        <f>D9/D3</f>
        <v>41.35751427482844</v>
      </c>
      <c r="E10" s="110">
        <f>E9/E3</f>
        <v>1.7763025854712364</v>
      </c>
      <c r="F10" s="110">
        <f>F9/F3</f>
        <v>0.18289274354476023</v>
      </c>
      <c r="G10" s="110">
        <f>G9/G3</f>
        <v>0.18068281314213494</v>
      </c>
      <c r="H10" s="110">
        <f>H9/H3</f>
        <v>0.09883366419370349</v>
      </c>
      <c r="J10" s="107" t="s">
        <v>95</v>
      </c>
    </row>
    <row r="11" spans="1:10" ht="12.75">
      <c r="A11" s="92" t="str">
        <f>'Cost Analysis'!A134</f>
        <v>SG&amp;A costs ($)</v>
      </c>
      <c r="B11" s="71">
        <f>'Cost Analysis'!B134</f>
        <v>1294000</v>
      </c>
      <c r="C11" s="71">
        <f>'Cost Analysis'!C134</f>
        <v>2353312.5</v>
      </c>
      <c r="D11" s="71">
        <f>'Cost Analysis'!D134</f>
        <v>3388156.25</v>
      </c>
      <c r="E11" s="71">
        <f>'Cost Analysis'!E134</f>
        <v>8373623.046874998</v>
      </c>
      <c r="F11" s="71">
        <f>'Cost Analysis'!F134</f>
        <v>11265708.999023434</v>
      </c>
      <c r="G11" s="71">
        <f>'Cost Analysis'!G134</f>
        <v>17091718.543212883</v>
      </c>
      <c r="H11" s="71">
        <f>'Cost Analysis'!H134</f>
        <v>24152253.846239</v>
      </c>
      <c r="J11" s="107" t="s">
        <v>92</v>
      </c>
    </row>
    <row r="12" spans="1:10" ht="12.75">
      <c r="A12" s="111" t="s">
        <v>59</v>
      </c>
      <c r="B12" s="109" t="s">
        <v>58</v>
      </c>
      <c r="C12" s="109" t="s">
        <v>58</v>
      </c>
      <c r="D12" s="110">
        <f>D11/D3</f>
        <v>59.33264423476201</v>
      </c>
      <c r="E12" s="110">
        <f>E11/E3</f>
        <v>7.357992847988602</v>
      </c>
      <c r="F12" s="110">
        <f>F11/F3</f>
        <v>1.1814149306474544</v>
      </c>
      <c r="G12" s="110">
        <f>G11/G3</f>
        <v>0.6190016844834555</v>
      </c>
      <c r="H12" s="110">
        <f>H11/H3</f>
        <v>0.4474675410406551</v>
      </c>
      <c r="J12" s="107" t="s">
        <v>96</v>
      </c>
    </row>
    <row r="13" spans="1:10" ht="12.75">
      <c r="A13" s="92" t="s">
        <v>196</v>
      </c>
      <c r="B13" s="113">
        <f>'Cost Analysis'!B116</f>
        <v>75000</v>
      </c>
      <c r="C13" s="113">
        <f>'Cost Analysis'!C116</f>
        <v>76874.99999999999</v>
      </c>
      <c r="D13" s="113">
        <f>'Cost Analysis'!D116</f>
        <v>262656.24999999994</v>
      </c>
      <c r="E13" s="113">
        <f>'Cost Analysis'!E116</f>
        <v>269222.6562499999</v>
      </c>
      <c r="F13" s="113">
        <f>'Cost Analysis'!F116</f>
        <v>275953.2226562499</v>
      </c>
      <c r="G13" s="113">
        <f>'Cost Analysis'!G116</f>
        <v>707130.1330566403</v>
      </c>
      <c r="H13" s="113">
        <f>'Cost Analysis'!H116</f>
        <v>724808.3863830562</v>
      </c>
      <c r="J13" s="107"/>
    </row>
    <row r="14" spans="1:10" ht="12.75">
      <c r="A14" s="111" t="s">
        <v>59</v>
      </c>
      <c r="B14" s="109" t="s">
        <v>58</v>
      </c>
      <c r="C14" s="109" t="s">
        <v>58</v>
      </c>
      <c r="D14" s="109">
        <f>'Cost Analysis'!D116/'Income Statement'!D3</f>
        <v>4.599578262450766</v>
      </c>
      <c r="E14" s="109">
        <f>'Cost Analysis'!E116/'Income Statement'!E3</f>
        <v>0.23656885055785634</v>
      </c>
      <c r="F14" s="112">
        <f>'Cost Analysis'!F116/'Income Statement'!F3</f>
        <v>0.028938725244424084</v>
      </c>
      <c r="G14" s="112">
        <f>'Cost Analysis'!G116/'Income Statement'!G3</f>
        <v>0.02560975611694043</v>
      </c>
      <c r="H14" s="112">
        <f>'Cost Analysis'!H116/'Income Statement'!H3</f>
        <v>0.013428486982840144</v>
      </c>
      <c r="J14" s="107"/>
    </row>
    <row r="15" spans="1:10" ht="13.5" thickBot="1">
      <c r="A15" s="87" t="s">
        <v>146</v>
      </c>
      <c r="B15" s="72">
        <f>B9+B11</f>
        <v>2014000</v>
      </c>
      <c r="C15" s="72">
        <f aca="true" t="shared" si="1" ref="C15:H15">C9+C11</f>
        <v>3398812.5</v>
      </c>
      <c r="D15" s="72">
        <f t="shared" si="1"/>
        <v>5749853.125</v>
      </c>
      <c r="E15" s="72">
        <f t="shared" si="1"/>
        <v>10395110.234374998</v>
      </c>
      <c r="F15" s="72">
        <f t="shared" si="1"/>
        <v>13009733.366210934</v>
      </c>
      <c r="G15" s="72">
        <f t="shared" si="1"/>
        <v>22080686.85336913</v>
      </c>
      <c r="H15" s="72">
        <f t="shared" si="1"/>
        <v>29486843.570018295</v>
      </c>
      <c r="J15" s="107" t="s">
        <v>97</v>
      </c>
    </row>
    <row r="16" spans="1:10" ht="13.5" thickTop="1">
      <c r="A16" s="92" t="s">
        <v>59</v>
      </c>
      <c r="B16" s="109" t="s">
        <v>58</v>
      </c>
      <c r="C16" s="109" t="s">
        <v>58</v>
      </c>
      <c r="D16" s="110">
        <f>D15/D3</f>
        <v>100.69015850959045</v>
      </c>
      <c r="E16" s="110">
        <f>E15/E3</f>
        <v>9.134295433459839</v>
      </c>
      <c r="F16" s="110">
        <f>F15/F3</f>
        <v>1.3643076741922147</v>
      </c>
      <c r="G16" s="110">
        <f>G15/G3</f>
        <v>0.7996844976255904</v>
      </c>
      <c r="H16" s="110">
        <f>H15/H3</f>
        <v>0.5463012052343587</v>
      </c>
      <c r="J16" s="107" t="s">
        <v>98</v>
      </c>
    </row>
    <row r="18" spans="1:10" ht="13.5" thickBot="1">
      <c r="A18" s="38" t="s">
        <v>173</v>
      </c>
      <c r="B18" s="72">
        <f aca="true" t="shared" si="2" ref="B18:H18">B5-B15</f>
        <v>-2014000</v>
      </c>
      <c r="C18" s="72">
        <f t="shared" si="2"/>
        <v>-3398812.5</v>
      </c>
      <c r="D18" s="72">
        <f t="shared" si="2"/>
        <v>-6578610.6010056</v>
      </c>
      <c r="E18" s="72">
        <f t="shared" si="2"/>
        <v>-11550018.390305618</v>
      </c>
      <c r="F18" s="72">
        <f t="shared" si="2"/>
        <v>-8941608.615562133</v>
      </c>
      <c r="G18" s="72">
        <f t="shared" si="2"/>
        <v>-3563451.057762198</v>
      </c>
      <c r="H18" s="72">
        <f t="shared" si="2"/>
        <v>9545838.009978216</v>
      </c>
      <c r="J18" s="107" t="s">
        <v>99</v>
      </c>
    </row>
    <row r="19" spans="1:10" ht="13.5" thickTop="1">
      <c r="A19" s="92" t="s">
        <v>154</v>
      </c>
      <c r="B19" s="109" t="s">
        <v>58</v>
      </c>
      <c r="C19" s="109" t="s">
        <v>58</v>
      </c>
      <c r="D19" s="109" t="s">
        <v>58</v>
      </c>
      <c r="E19" s="109" t="s">
        <v>58</v>
      </c>
      <c r="F19" s="109" t="s">
        <v>58</v>
      </c>
      <c r="G19" s="109" t="s">
        <v>58</v>
      </c>
      <c r="H19" s="110">
        <f>H18/H3</f>
        <v>0.17685524045460982</v>
      </c>
      <c r="J19" s="107" t="s">
        <v>100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93" r:id="rId1"/>
  <headerFooter alignWithMargins="0">
    <oddHeader>&amp;LFinancial Model Example&amp;RIncome Statement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140625" style="0" customWidth="1"/>
    <col min="2" max="8" width="13.28125" style="0" customWidth="1"/>
    <col min="9" max="9" width="3.140625" style="0" customWidth="1"/>
  </cols>
  <sheetData>
    <row r="1" spans="1:8" ht="15.75">
      <c r="A1" s="50" t="s">
        <v>60</v>
      </c>
      <c r="B1" s="51"/>
      <c r="C1" s="52"/>
      <c r="D1" s="51"/>
      <c r="E1" s="51"/>
      <c r="F1" s="51"/>
      <c r="G1" s="51"/>
      <c r="H1" s="52"/>
    </row>
    <row r="2" spans="1:8" ht="12.75">
      <c r="A2" s="82"/>
      <c r="B2" s="83" t="s">
        <v>46</v>
      </c>
      <c r="C2" s="84" t="s">
        <v>47</v>
      </c>
      <c r="D2" s="83" t="s">
        <v>48</v>
      </c>
      <c r="E2" s="74" t="s">
        <v>49</v>
      </c>
      <c r="F2" s="83" t="s">
        <v>50</v>
      </c>
      <c r="G2" s="83" t="s">
        <v>51</v>
      </c>
      <c r="H2" s="84" t="s">
        <v>52</v>
      </c>
    </row>
    <row r="3" spans="1:10" ht="13.5" thickBot="1">
      <c r="A3" s="38" t="s">
        <v>189</v>
      </c>
      <c r="B3" s="85">
        <f>'Income Statement'!B18</f>
        <v>-2014000</v>
      </c>
      <c r="C3" s="85">
        <f>'Income Statement'!C18</f>
        <v>-3398812.5</v>
      </c>
      <c r="D3" s="85">
        <f>'Income Statement'!D18</f>
        <v>-6578610.6010056</v>
      </c>
      <c r="E3" s="85">
        <f>'Income Statement'!E18</f>
        <v>-11550018.390305618</v>
      </c>
      <c r="F3" s="85">
        <f>'Income Statement'!F18</f>
        <v>-8941608.615562133</v>
      </c>
      <c r="G3" s="85">
        <f>'Income Statement'!G18</f>
        <v>-3563451.057762198</v>
      </c>
      <c r="H3" s="85">
        <f>'Income Statement'!H18</f>
        <v>9545838.009978216</v>
      </c>
      <c r="J3" s="65" t="s">
        <v>101</v>
      </c>
    </row>
    <row r="4" ht="13.5" thickTop="1">
      <c r="A4" s="2" t="s">
        <v>155</v>
      </c>
    </row>
    <row r="5" spans="1:10" ht="12.75">
      <c r="A5" s="66" t="s">
        <v>61</v>
      </c>
      <c r="B5" s="116">
        <f>SUM('Cost Analysis'!B4,'Cost Analysis'!B8:B20)</f>
        <v>6.75</v>
      </c>
      <c r="C5" s="116">
        <f>SUM('Cost Analysis'!C4,'Cost Analysis'!C8:C20)</f>
        <v>13.5</v>
      </c>
      <c r="D5" s="116">
        <f>SUM('Cost Analysis'!D4,'Cost Analysis'!D8:D20)</f>
        <v>22.25</v>
      </c>
      <c r="E5" s="116">
        <f>SUM('Cost Analysis'!E4,'Cost Analysis'!E8:E20)</f>
        <v>43</v>
      </c>
      <c r="F5" s="116">
        <f>SUM('Cost Analysis'!F4,'Cost Analysis'!F8:F20)</f>
        <v>55</v>
      </c>
      <c r="G5" s="116">
        <f>SUM('Cost Analysis'!G4,'Cost Analysis'!G8:G20)</f>
        <v>83</v>
      </c>
      <c r="H5" s="116">
        <f>SUM('Cost Analysis'!H4,'Cost Analysis'!H8:H20)</f>
        <v>122</v>
      </c>
      <c r="J5" s="65" t="s">
        <v>102</v>
      </c>
    </row>
    <row r="6" spans="1:10" ht="12.75">
      <c r="A6" s="66" t="s">
        <v>174</v>
      </c>
      <c r="B6" s="95">
        <v>7500</v>
      </c>
      <c r="C6" s="95">
        <v>7500</v>
      </c>
      <c r="D6" s="95">
        <v>7500</v>
      </c>
      <c r="E6" s="95">
        <v>7500</v>
      </c>
      <c r="F6" s="95">
        <v>7500</v>
      </c>
      <c r="G6" s="95">
        <v>7500</v>
      </c>
      <c r="H6" s="95">
        <v>7500</v>
      </c>
      <c r="J6" t="s">
        <v>113</v>
      </c>
    </row>
    <row r="7" spans="1:10" ht="12.75">
      <c r="A7" s="92" t="s">
        <v>175</v>
      </c>
      <c r="B7" s="96">
        <f>B6*B5</f>
        <v>50625</v>
      </c>
      <c r="C7" s="96">
        <f aca="true" t="shared" si="0" ref="C7:H7">C5*C6-B7</f>
        <v>50625</v>
      </c>
      <c r="D7" s="96">
        <f t="shared" si="0"/>
        <v>116250</v>
      </c>
      <c r="E7" s="96">
        <f t="shared" si="0"/>
        <v>206250</v>
      </c>
      <c r="F7" s="96">
        <f t="shared" si="0"/>
        <v>206250</v>
      </c>
      <c r="G7" s="96">
        <f t="shared" si="0"/>
        <v>416250</v>
      </c>
      <c r="H7" s="96">
        <f t="shared" si="0"/>
        <v>498750</v>
      </c>
      <c r="J7" s="65" t="s">
        <v>103</v>
      </c>
    </row>
    <row r="8" spans="1:10" ht="12.75">
      <c r="A8" s="92" t="s">
        <v>176</v>
      </c>
      <c r="B8" s="97">
        <v>0</v>
      </c>
      <c r="C8" s="97">
        <v>0</v>
      </c>
      <c r="D8" s="97">
        <v>300000</v>
      </c>
      <c r="E8" s="97">
        <v>0</v>
      </c>
      <c r="F8" s="97">
        <v>0</v>
      </c>
      <c r="G8" s="97">
        <v>600000</v>
      </c>
      <c r="H8" s="97">
        <v>0</v>
      </c>
      <c r="J8" s="65" t="s">
        <v>82</v>
      </c>
    </row>
    <row r="9" spans="1:10" ht="12.75">
      <c r="A9" s="92" t="s">
        <v>177</v>
      </c>
      <c r="B9" s="97">
        <v>0</v>
      </c>
      <c r="C9" s="97">
        <v>150000</v>
      </c>
      <c r="D9" s="97">
        <v>150000</v>
      </c>
      <c r="E9" s="97">
        <v>300000</v>
      </c>
      <c r="F9" s="97">
        <v>150000</v>
      </c>
      <c r="G9" s="97">
        <v>300000</v>
      </c>
      <c r="H9" s="97">
        <v>200000</v>
      </c>
      <c r="J9" s="65" t="s">
        <v>82</v>
      </c>
    </row>
    <row r="10" spans="1:10" ht="13.5" thickBot="1">
      <c r="A10" s="80" t="s">
        <v>185</v>
      </c>
      <c r="B10" s="98">
        <f>SUM(B7:B9)</f>
        <v>50625</v>
      </c>
      <c r="C10" s="98">
        <f aca="true" t="shared" si="1" ref="C10:H10">SUM(C7:C9)</f>
        <v>200625</v>
      </c>
      <c r="D10" s="98">
        <f t="shared" si="1"/>
        <v>566250</v>
      </c>
      <c r="E10" s="98">
        <f t="shared" si="1"/>
        <v>506250</v>
      </c>
      <c r="F10" s="98">
        <f t="shared" si="1"/>
        <v>356250</v>
      </c>
      <c r="G10" s="98">
        <f t="shared" si="1"/>
        <v>1316250</v>
      </c>
      <c r="H10" s="98">
        <f t="shared" si="1"/>
        <v>698750</v>
      </c>
      <c r="J10" s="65" t="s">
        <v>104</v>
      </c>
    </row>
    <row r="11" spans="1:8" ht="13.5" thickTop="1">
      <c r="A11" s="3"/>
      <c r="B11" s="99"/>
      <c r="C11" s="99"/>
      <c r="D11" s="99"/>
      <c r="E11" s="99"/>
      <c r="F11" s="99"/>
      <c r="G11" s="99"/>
      <c r="H11" s="99"/>
    </row>
    <row r="12" spans="1:10" ht="12.75">
      <c r="A12" s="3" t="s">
        <v>178</v>
      </c>
      <c r="B12" s="99">
        <f>'Cost Analysis'!B63</f>
        <v>0</v>
      </c>
      <c r="C12" s="99">
        <f>'Cost Analysis'!C63</f>
        <v>0</v>
      </c>
      <c r="D12" s="99">
        <f>'Cost Analysis'!D63</f>
        <v>13843.14624</v>
      </c>
      <c r="E12" s="99">
        <f>'Cost Analysis'!E63</f>
        <v>249539.07105792002</v>
      </c>
      <c r="F12" s="99">
        <f>'Cost Analysis'!F63</f>
        <v>1891298.2093931527</v>
      </c>
      <c r="G12" s="99">
        <f>'Cost Analysis'!G63</f>
        <v>4953558.177006833</v>
      </c>
      <c r="H12" s="99">
        <f>'Cost Analysis'!H63</f>
        <v>8758685.29552364</v>
      </c>
      <c r="J12" s="65" t="s">
        <v>105</v>
      </c>
    </row>
    <row r="13" spans="1:10" ht="12.75">
      <c r="A13" s="79" t="s">
        <v>38</v>
      </c>
      <c r="B13" s="106">
        <v>0.35</v>
      </c>
      <c r="C13" s="106">
        <v>0.35</v>
      </c>
      <c r="D13" s="106">
        <v>0.35</v>
      </c>
      <c r="E13" s="106">
        <v>0.35</v>
      </c>
      <c r="F13" s="106">
        <v>0.35</v>
      </c>
      <c r="G13" s="106">
        <v>0.35</v>
      </c>
      <c r="H13" s="106">
        <v>0.35</v>
      </c>
      <c r="J13" s="65" t="s">
        <v>106</v>
      </c>
    </row>
    <row r="14" spans="1:10" ht="13.5" thickBot="1">
      <c r="A14" s="38" t="s">
        <v>179</v>
      </c>
      <c r="B14" s="100">
        <f aca="true" t="shared" si="2" ref="B14:H14">B13*B12</f>
        <v>0</v>
      </c>
      <c r="C14" s="100">
        <f t="shared" si="2"/>
        <v>0</v>
      </c>
      <c r="D14" s="100">
        <f t="shared" si="2"/>
        <v>4845.101184</v>
      </c>
      <c r="E14" s="100">
        <f t="shared" si="2"/>
        <v>87338.674870272</v>
      </c>
      <c r="F14" s="100">
        <f t="shared" si="2"/>
        <v>661954.3732876034</v>
      </c>
      <c r="G14" s="100">
        <f t="shared" si="2"/>
        <v>1733745.3619523915</v>
      </c>
      <c r="H14" s="100">
        <f t="shared" si="2"/>
        <v>3065539.8534332737</v>
      </c>
      <c r="J14" s="65" t="s">
        <v>107</v>
      </c>
    </row>
    <row r="15" spans="1:8" ht="13.5" thickTop="1">
      <c r="A15" s="3"/>
      <c r="B15" s="99"/>
      <c r="C15" s="99"/>
      <c r="D15" s="99"/>
      <c r="E15" s="99"/>
      <c r="F15" s="99"/>
      <c r="G15" s="99"/>
      <c r="H15" s="99"/>
    </row>
    <row r="16" spans="1:10" ht="13.5" thickBot="1">
      <c r="A16" s="81" t="s">
        <v>180</v>
      </c>
      <c r="B16" s="101">
        <f>B3-B10-B14</f>
        <v>-2064625</v>
      </c>
      <c r="C16" s="101">
        <f aca="true" t="shared" si="3" ref="C16:H16">C3-C10-C14</f>
        <v>-3599437.5</v>
      </c>
      <c r="D16" s="101">
        <f t="shared" si="3"/>
        <v>-7149705.7021896</v>
      </c>
      <c r="E16" s="101">
        <f t="shared" si="3"/>
        <v>-12143607.065175889</v>
      </c>
      <c r="F16" s="101">
        <f t="shared" si="3"/>
        <v>-9959812.988849737</v>
      </c>
      <c r="G16" s="101">
        <f t="shared" si="3"/>
        <v>-6613446.41971459</v>
      </c>
      <c r="H16" s="101">
        <f t="shared" si="3"/>
        <v>5781548.156544942</v>
      </c>
      <c r="J16" s="65" t="s">
        <v>108</v>
      </c>
    </row>
    <row r="17" spans="1:8" ht="12" customHeight="1" thickTop="1">
      <c r="A17" s="82"/>
      <c r="B17" s="102"/>
      <c r="C17" s="102"/>
      <c r="D17" s="102"/>
      <c r="E17" s="102"/>
      <c r="F17" s="102"/>
      <c r="G17" s="102"/>
      <c r="H17" s="102"/>
    </row>
    <row r="18" spans="1:10" ht="13.5" thickBot="1">
      <c r="A18" s="81" t="s">
        <v>181</v>
      </c>
      <c r="B18" s="101">
        <f>B16</f>
        <v>-2064625</v>
      </c>
      <c r="C18" s="101">
        <f aca="true" t="shared" si="4" ref="C18:H18">C16+B18</f>
        <v>-5664062.5</v>
      </c>
      <c r="D18" s="101">
        <f t="shared" si="4"/>
        <v>-12813768.2021896</v>
      </c>
      <c r="E18" s="101">
        <f t="shared" si="4"/>
        <v>-24957375.26736549</v>
      </c>
      <c r="F18" s="101">
        <f t="shared" si="4"/>
        <v>-34917188.25621523</v>
      </c>
      <c r="G18" s="101">
        <f t="shared" si="4"/>
        <v>-41530634.67592982</v>
      </c>
      <c r="H18" s="101">
        <f t="shared" si="4"/>
        <v>-35749086.519384876</v>
      </c>
      <c r="J18" s="65" t="s">
        <v>109</v>
      </c>
    </row>
    <row r="19" spans="1:8" ht="13.5" thickTop="1">
      <c r="A19" s="3"/>
      <c r="B19" s="99"/>
      <c r="C19" s="99"/>
      <c r="D19" s="99"/>
      <c r="E19" s="99"/>
      <c r="F19" s="99"/>
      <c r="G19" s="99"/>
      <c r="H19" s="99"/>
    </row>
    <row r="20" spans="1:8" ht="12.75">
      <c r="A20" s="6" t="s">
        <v>156</v>
      </c>
      <c r="B20" s="103" t="s">
        <v>46</v>
      </c>
      <c r="C20" s="103" t="s">
        <v>47</v>
      </c>
      <c r="D20" s="103" t="s">
        <v>48</v>
      </c>
      <c r="E20" s="103" t="s">
        <v>49</v>
      </c>
      <c r="F20" s="103" t="s">
        <v>50</v>
      </c>
      <c r="G20" s="103" t="s">
        <v>51</v>
      </c>
      <c r="H20" s="103" t="s">
        <v>52</v>
      </c>
    </row>
    <row r="21" spans="1:10" ht="12.75">
      <c r="A21" s="86" t="s">
        <v>182</v>
      </c>
      <c r="B21" s="104">
        <f>B16</f>
        <v>-2064625</v>
      </c>
      <c r="C21" s="104">
        <f aca="true" t="shared" si="5" ref="C21:H21">B23+C16</f>
        <v>-2664062.5</v>
      </c>
      <c r="D21" s="104">
        <f t="shared" si="5"/>
        <v>2186231.7978104</v>
      </c>
      <c r="E21" s="104">
        <f t="shared" si="5"/>
        <v>-9957375.26736549</v>
      </c>
      <c r="F21" s="104">
        <f t="shared" si="5"/>
        <v>7082811.743784774</v>
      </c>
      <c r="G21" s="104">
        <f t="shared" si="5"/>
        <v>469365.3240701845</v>
      </c>
      <c r="H21" s="104">
        <f t="shared" si="5"/>
        <v>6250913.480615127</v>
      </c>
      <c r="J21" s="65" t="s">
        <v>112</v>
      </c>
    </row>
    <row r="22" spans="1:10" ht="12.75">
      <c r="A22" s="14" t="s">
        <v>183</v>
      </c>
      <c r="B22" s="105">
        <v>3000000</v>
      </c>
      <c r="C22" s="105">
        <v>12000000</v>
      </c>
      <c r="D22" s="105"/>
      <c r="E22" s="105">
        <v>27000000</v>
      </c>
      <c r="F22" s="104"/>
      <c r="G22" s="104"/>
      <c r="H22" s="104"/>
      <c r="J22" s="65" t="s">
        <v>111</v>
      </c>
    </row>
    <row r="23" spans="1:10" ht="12.75">
      <c r="A23" s="7" t="s">
        <v>184</v>
      </c>
      <c r="B23" s="104">
        <f aca="true" t="shared" si="6" ref="B23:H23">B22+B21</f>
        <v>935375</v>
      </c>
      <c r="C23" s="104">
        <f t="shared" si="6"/>
        <v>9335937.5</v>
      </c>
      <c r="D23" s="104">
        <f t="shared" si="6"/>
        <v>2186231.7978104</v>
      </c>
      <c r="E23" s="104">
        <f t="shared" si="6"/>
        <v>17042624.73263451</v>
      </c>
      <c r="F23" s="104">
        <f t="shared" si="6"/>
        <v>7082811.743784774</v>
      </c>
      <c r="G23" s="104">
        <f t="shared" si="6"/>
        <v>469365.3240701845</v>
      </c>
      <c r="H23" s="104">
        <f t="shared" si="6"/>
        <v>6250913.480615127</v>
      </c>
      <c r="J23" s="65" t="s">
        <v>110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88" r:id="rId1"/>
  <headerFooter alignWithMargins="0">
    <oddHeader>&amp;LFinancial Model Example&amp;RCash Requirements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bestFit="1" customWidth="1"/>
    <col min="2" max="2" width="10.28125" style="0" bestFit="1" customWidth="1"/>
    <col min="3" max="3" width="15.00390625" style="0" bestFit="1" customWidth="1"/>
    <col min="4" max="4" width="15.140625" style="0" bestFit="1" customWidth="1"/>
    <col min="5" max="5" width="17.8515625" style="0" bestFit="1" customWidth="1"/>
    <col min="6" max="7" width="10.7109375" style="0" bestFit="1" customWidth="1"/>
    <col min="8" max="8" width="13.57421875" style="0" bestFit="1" customWidth="1"/>
    <col min="10" max="10" width="14.00390625" style="0" bestFit="1" customWidth="1"/>
    <col min="11" max="12" width="15.00390625" style="0" bestFit="1" customWidth="1"/>
    <col min="13" max="13" width="16.00390625" style="0" bestFit="1" customWidth="1"/>
  </cols>
  <sheetData>
    <row r="1" spans="1:8" ht="12.75">
      <c r="A1" t="str">
        <f>'Cash Requirements'!A20</f>
        <v>Cash needs</v>
      </c>
      <c r="B1" s="99" t="str">
        <f>'Cash Requirements'!B20</f>
        <v>Year 1</v>
      </c>
      <c r="C1" s="99" t="str">
        <f>'Cash Requirements'!C20</f>
        <v>Year 2</v>
      </c>
      <c r="D1" s="99" t="str">
        <f>'Cash Requirements'!D20</f>
        <v>Year 3</v>
      </c>
      <c r="E1" s="99" t="str">
        <f>'Cash Requirements'!E20</f>
        <v>Year 4</v>
      </c>
      <c r="F1" s="99" t="str">
        <f>'Cash Requirements'!F20</f>
        <v>Year 5</v>
      </c>
      <c r="G1" s="99" t="str">
        <f>'Cash Requirements'!G20</f>
        <v>Year 6</v>
      </c>
      <c r="H1" s="99" t="str">
        <f>'Cash Requirements'!H20</f>
        <v>Year 7</v>
      </c>
    </row>
    <row r="2" spans="1:8" ht="12.75">
      <c r="A2" t="str">
        <f>'Cash Requirements'!A21</f>
        <v>Cash balance ($)</v>
      </c>
      <c r="B2" s="99">
        <f>'Cash Requirements'!B21</f>
        <v>-2064625</v>
      </c>
      <c r="C2" s="99">
        <f>'Cash Requirements'!C21</f>
        <v>-2664062.5</v>
      </c>
      <c r="D2" s="99">
        <f>'Cash Requirements'!D21</f>
        <v>2186231.7978104</v>
      </c>
      <c r="E2" s="99">
        <f>'Cash Requirements'!E21</f>
        <v>-9957375.26736549</v>
      </c>
      <c r="F2" s="99">
        <f>'Cash Requirements'!F21</f>
        <v>7082811.743784774</v>
      </c>
      <c r="G2" s="99">
        <f>'Cash Requirements'!G21</f>
        <v>469365.3240701845</v>
      </c>
      <c r="H2" s="99">
        <f>'Cash Requirements'!H21</f>
        <v>6250913.480615127</v>
      </c>
    </row>
    <row r="3" spans="1:8" ht="12.75">
      <c r="A3" t="str">
        <f>'Cash Requirements'!A22</f>
        <v>Suggested amount financed ($)</v>
      </c>
      <c r="B3" s="99">
        <f>'Cash Requirements'!B22</f>
        <v>3000000</v>
      </c>
      <c r="C3" s="99">
        <f>'Cash Requirements'!C22</f>
        <v>12000000</v>
      </c>
      <c r="D3" s="99">
        <f>'Cash Requirements'!D22</f>
        <v>0</v>
      </c>
      <c r="E3" s="99">
        <f>'Cash Requirements'!E22</f>
        <v>27000000</v>
      </c>
      <c r="F3" s="99">
        <f>'Cash Requirements'!F22</f>
        <v>0</v>
      </c>
      <c r="G3" s="99">
        <f>'Cash Requirements'!G22</f>
        <v>0</v>
      </c>
      <c r="H3" s="99">
        <f>'Cash Requirements'!H22</f>
        <v>0</v>
      </c>
    </row>
    <row r="4" spans="1:8" ht="12.75">
      <c r="A4" t="str">
        <f>'Cash Requirements'!A23</f>
        <v>Post-financing cash in the bank ($)</v>
      </c>
      <c r="B4" s="99">
        <f>'Cash Requirements'!B23</f>
        <v>935375</v>
      </c>
      <c r="C4" s="99">
        <f>'Cash Requirements'!C23</f>
        <v>9335937.5</v>
      </c>
      <c r="D4" s="99">
        <f>'Cash Requirements'!D23</f>
        <v>2186231.7978104</v>
      </c>
      <c r="E4" s="99">
        <f>'Cash Requirements'!E23</f>
        <v>17042624.73263451</v>
      </c>
      <c r="F4" s="99">
        <f>'Cash Requirements'!F23</f>
        <v>7082811.743784774</v>
      </c>
      <c r="G4" s="99">
        <f>'Cash Requirements'!G23</f>
        <v>469365.3240701845</v>
      </c>
      <c r="H4" s="99">
        <f>'Cash Requirements'!H23</f>
        <v>6250913.480615127</v>
      </c>
    </row>
    <row r="5" spans="1:8" ht="12.75">
      <c r="A5" t="s">
        <v>205</v>
      </c>
      <c r="B5" s="99">
        <f>'Income Statement'!B3</f>
        <v>0</v>
      </c>
      <c r="C5" s="99">
        <f>'Income Statement'!C3</f>
        <v>0</v>
      </c>
      <c r="D5" s="99">
        <f>'Income Statement'!D3</f>
        <v>57104.4202344</v>
      </c>
      <c r="E5" s="99">
        <f>'Income Statement'!E3</f>
        <v>1138030.8760647995</v>
      </c>
      <c r="F5" s="99">
        <f>'Income Statement'!F3</f>
        <v>9535776.725666953</v>
      </c>
      <c r="G5" s="99">
        <f>'Income Statement'!G3</f>
        <v>27611748.031793453</v>
      </c>
      <c r="H5" s="99">
        <f>'Income Statement'!H3</f>
        <v>53975432.02814039</v>
      </c>
    </row>
    <row r="10" spans="2:13" ht="12.75">
      <c r="B10" t="s">
        <v>15</v>
      </c>
      <c r="C10" t="s">
        <v>210</v>
      </c>
      <c r="D10" t="s">
        <v>211</v>
      </c>
      <c r="E10" t="s">
        <v>212</v>
      </c>
      <c r="F10" t="s">
        <v>213</v>
      </c>
      <c r="G10" t="s">
        <v>214</v>
      </c>
      <c r="H10" t="s">
        <v>215</v>
      </c>
      <c r="I10" t="s">
        <v>216</v>
      </c>
      <c r="J10" t="s">
        <v>217</v>
      </c>
      <c r="K10" t="s">
        <v>206</v>
      </c>
      <c r="L10" t="s">
        <v>207</v>
      </c>
      <c r="M10" t="s">
        <v>208</v>
      </c>
    </row>
    <row r="11" spans="1:13" ht="12.75">
      <c r="A11" t="s">
        <v>206</v>
      </c>
      <c r="B11">
        <v>1</v>
      </c>
      <c r="C11" s="117">
        <f>B3</f>
        <v>3000000</v>
      </c>
      <c r="D11" s="121">
        <f>E11-C11</f>
        <v>4892324.401235329</v>
      </c>
      <c r="E11" s="120">
        <f>$E$14/(1+G11)^I11</f>
        <v>7892324.401235329</v>
      </c>
      <c r="F11" s="122">
        <f>C11/E11</f>
        <v>0.38011615431449214</v>
      </c>
      <c r="G11" s="119">
        <v>0.7</v>
      </c>
      <c r="H11" s="124">
        <f>$E$14/E11</f>
        <v>41.03386729999998</v>
      </c>
      <c r="I11">
        <v>7</v>
      </c>
      <c r="J11" s="123">
        <f>1-K11</f>
        <v>0.6198838456855078</v>
      </c>
      <c r="K11" s="123">
        <f>F11</f>
        <v>0.38011615431449214</v>
      </c>
      <c r="L11" s="123"/>
      <c r="M11" s="123"/>
    </row>
    <row r="12" spans="1:13" ht="12.75">
      <c r="A12" t="s">
        <v>207</v>
      </c>
      <c r="B12">
        <v>2</v>
      </c>
      <c r="C12" s="117">
        <f>C3</f>
        <v>12000000</v>
      </c>
      <c r="D12" s="121">
        <f>E12-C12</f>
        <v>16431503.290543083</v>
      </c>
      <c r="E12" s="120">
        <f>$E$14/(1+G12)^I12</f>
        <v>28431503.290543083</v>
      </c>
      <c r="F12" s="122">
        <f>C12/E12</f>
        <v>0.42206702464415424</v>
      </c>
      <c r="G12" s="119">
        <v>0.5</v>
      </c>
      <c r="H12" s="124">
        <f>$E$14/E12</f>
        <v>11.390625</v>
      </c>
      <c r="I12">
        <v>6</v>
      </c>
      <c r="J12" s="123">
        <f>(J11*(1-L12))</f>
        <v>0.35825131531204946</v>
      </c>
      <c r="K12" s="123">
        <f>K11*(1-L12)</f>
        <v>0.21968166004379625</v>
      </c>
      <c r="L12" s="123">
        <f>F12</f>
        <v>0.42206702464415424</v>
      </c>
      <c r="M12" s="123"/>
    </row>
    <row r="13" spans="1:13" ht="12.75">
      <c r="A13" t="s">
        <v>208</v>
      </c>
      <c r="B13">
        <v>4</v>
      </c>
      <c r="C13" s="117">
        <f>E3</f>
        <v>27000000</v>
      </c>
      <c r="D13" s="121">
        <f>E13-C13</f>
        <v>57301486.92441754</v>
      </c>
      <c r="E13" s="120">
        <f>$E$14/(1+G13)^I13</f>
        <v>84301486.92441754</v>
      </c>
      <c r="F13" s="122">
        <f>C13/E13</f>
        <v>0.3202790482712064</v>
      </c>
      <c r="G13" s="119">
        <v>0.4</v>
      </c>
      <c r="H13" s="124">
        <f>$E$14/E13</f>
        <v>3.841599999999999</v>
      </c>
      <c r="I13">
        <v>4</v>
      </c>
      <c r="J13" s="123">
        <f>J12*(1-M13)</f>
        <v>0.2435109250019984</v>
      </c>
      <c r="K13" s="123">
        <f>K12*(1-M13)</f>
        <v>0.14932222704233047</v>
      </c>
      <c r="L13" s="123">
        <f>L12*(1-$M$13)</f>
        <v>0.2868877996844647</v>
      </c>
      <c r="M13" s="123">
        <f>F13</f>
        <v>0.3202790482712064</v>
      </c>
    </row>
    <row r="14" spans="1:13" ht="12.75">
      <c r="A14" t="s">
        <v>209</v>
      </c>
      <c r="B14">
        <v>7</v>
      </c>
      <c r="E14" s="118">
        <f>6*H5</f>
        <v>323852592.1688423</v>
      </c>
      <c r="K14" s="120">
        <f>K13*$E$14</f>
        <v>48358390.29608313</v>
      </c>
      <c r="L14" s="120">
        <f>L13*$E$14</f>
        <v>92909357.58942948</v>
      </c>
      <c r="M14" s="120">
        <f>M13*$E$14</f>
        <v>103723199.99999997</v>
      </c>
    </row>
    <row r="15" ht="12.75">
      <c r="K15">
        <f>1/I11*LN(K14/C11)</f>
        <v>0.3971467786671622</v>
      </c>
    </row>
    <row r="16" spans="11:13" ht="12.75">
      <c r="K16">
        <f>K14/C11</f>
        <v>16.11946343202771</v>
      </c>
      <c r="L16">
        <f>L14/C12</f>
        <v>7.7424464657857905</v>
      </c>
      <c r="M16">
        <f>M14/C13</f>
        <v>3.841599999999999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jwhite11</cp:lastModifiedBy>
  <cp:lastPrinted>2007-05-16T18:01:45Z</cp:lastPrinted>
  <dcterms:created xsi:type="dcterms:W3CDTF">2006-05-10T00:09:09Z</dcterms:created>
  <dcterms:modified xsi:type="dcterms:W3CDTF">2011-05-05T16:26:40Z</dcterms:modified>
  <cp:category/>
  <cp:version/>
  <cp:contentType/>
  <cp:contentStatus/>
</cp:coreProperties>
</file>